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4"/>
  </bookViews>
  <sheets>
    <sheet name="Arkusz1" sheetId="1" r:id="rId1"/>
    <sheet name="Arkusz2" sheetId="2" r:id="rId2"/>
    <sheet name="Arkusz3" sheetId="3" r:id="rId3"/>
    <sheet name="Arkusz4" sheetId="4" r:id="rId4"/>
    <sheet name="Arkusz5" sheetId="5" r:id="rId5"/>
  </sheets>
  <calcPr calcId="152511"/>
</workbook>
</file>

<file path=xl/calcChain.xml><?xml version="1.0" encoding="utf-8"?>
<calcChain xmlns="http://schemas.openxmlformats.org/spreadsheetml/2006/main">
  <c r="Y3" i="5" l="1"/>
  <c r="Y2" i="5"/>
  <c r="Y7" i="4"/>
  <c r="Y6" i="4"/>
  <c r="Y5" i="4"/>
  <c r="Y4" i="4"/>
  <c r="Y3" i="4"/>
  <c r="Y2" i="4"/>
  <c r="U4" i="3"/>
  <c r="U3" i="3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C7" i="2"/>
  <c r="Y6" i="2"/>
  <c r="Y5" i="2"/>
  <c r="Y4" i="2"/>
  <c r="Y3" i="2"/>
  <c r="Y2" i="2"/>
  <c r="Y7" i="2" s="1"/>
  <c r="T11" i="1"/>
  <c r="S11" i="1"/>
  <c r="O11" i="1"/>
  <c r="M11" i="1"/>
  <c r="K11" i="1"/>
  <c r="F11" i="1"/>
  <c r="Q11" i="1" s="1"/>
  <c r="T7" i="1"/>
  <c r="S7" i="1"/>
  <c r="Q7" i="1"/>
  <c r="O7" i="1"/>
  <c r="R7" i="1" s="1"/>
  <c r="M7" i="1"/>
  <c r="K7" i="1"/>
  <c r="T6" i="1"/>
  <c r="S6" i="1"/>
  <c r="Q6" i="1"/>
  <c r="O6" i="1"/>
  <c r="R6" i="1" s="1"/>
  <c r="M6" i="1"/>
  <c r="K6" i="1"/>
  <c r="T5" i="1"/>
  <c r="T12" i="1" s="1"/>
  <c r="S5" i="1"/>
  <c r="S12" i="1" s="1"/>
  <c r="Q5" i="1"/>
  <c r="O5" i="1"/>
  <c r="R5" i="1" s="1"/>
  <c r="M5" i="1"/>
  <c r="K5" i="1"/>
  <c r="T4" i="1"/>
  <c r="S4" i="1"/>
  <c r="R4" i="1"/>
  <c r="Q4" i="1"/>
  <c r="P4" i="1"/>
  <c r="O4" i="1"/>
  <c r="N4" i="1"/>
  <c r="M4" i="1"/>
  <c r="L4" i="1"/>
  <c r="K4" i="1"/>
  <c r="J4" i="1"/>
  <c r="I4" i="1"/>
  <c r="H4" i="1"/>
  <c r="G4" i="1"/>
  <c r="F4" i="1"/>
  <c r="E4" i="1"/>
  <c r="D4" i="1"/>
  <c r="C4" i="1"/>
  <c r="B4" i="1"/>
  <c r="A4" i="1"/>
  <c r="R11" i="1" l="1"/>
</calcChain>
</file>

<file path=xl/sharedStrings.xml><?xml version="1.0" encoding="utf-8"?>
<sst xmlns="http://schemas.openxmlformats.org/spreadsheetml/2006/main" count="169" uniqueCount="71">
  <si>
    <t>Załącznik nr 7 do SIWZ - Formularz cenowy</t>
  </si>
  <si>
    <t>Grupa taryfowa</t>
  </si>
  <si>
    <t>Liczba punktów poboru</t>
  </si>
  <si>
    <r>
      <t xml:space="preserve">Moc umowna
</t>
    </r>
    <r>
      <rPr>
        <sz val="10"/>
        <rFont val="Times New Roman"/>
        <family val="1"/>
        <charset val="238"/>
      </rPr>
      <t>(kWh/h)</t>
    </r>
  </si>
  <si>
    <r>
      <rPr>
        <b/>
        <sz val="10"/>
        <rFont val="Times New Roman"/>
        <family val="1"/>
        <charset val="238"/>
      </rPr>
      <t>Szacunkowe zapotrzebowanie na paliwo gazowe zwolnione 
z akcyzy</t>
    </r>
    <r>
      <rPr>
        <sz val="10"/>
        <rFont val="Times New Roman"/>
        <family val="1"/>
        <charset val="238"/>
      </rPr>
      <t xml:space="preserve"> 
(kWh)</t>
    </r>
  </si>
  <si>
    <r>
      <rPr>
        <b/>
        <sz val="10"/>
        <rFont val="Times New Roman"/>
        <family val="1"/>
        <charset val="238"/>
      </rPr>
      <t>Szacunkowe zapotrzebowanie na paliwo gazowe opodatkowane akcyzą 1,28 zł/GJ</t>
    </r>
    <r>
      <rPr>
        <sz val="10"/>
        <rFont val="Times New Roman"/>
        <family val="1"/>
        <charset val="238"/>
      </rPr>
      <t xml:space="preserve">
(kWh)</t>
    </r>
  </si>
  <si>
    <r>
      <rPr>
        <b/>
        <sz val="10"/>
        <rFont val="Times New Roman"/>
        <family val="1"/>
        <charset val="238"/>
      </rPr>
      <t>Szacunkowe zapotrzebowanie na paliwo gazowe łącznie</t>
    </r>
    <r>
      <rPr>
        <sz val="10"/>
        <rFont val="Times New Roman"/>
        <family val="1"/>
        <charset val="238"/>
      </rPr>
      <t xml:space="preserve"> 
(kWh)</t>
    </r>
  </si>
  <si>
    <t>Liczba miesięcy</t>
  </si>
  <si>
    <t>Liczba dni</t>
  </si>
  <si>
    <t>Oddział dystrybucji</t>
  </si>
  <si>
    <t>Cena za gaz (zł netto)</t>
  </si>
  <si>
    <t>Cena za usługi dystrybucyjne (zł netto)</t>
  </si>
  <si>
    <t>CENA OFERTY 
(zł netto)</t>
  </si>
  <si>
    <t>CENA OFERTY 
(zł brutto)</t>
  </si>
  <si>
    <r>
      <rPr>
        <b/>
        <sz val="10"/>
        <rFont val="Times New Roman"/>
        <family val="1"/>
        <charset val="238"/>
      </rPr>
      <t xml:space="preserve">Cena jednostkowa za gaz bez akcyzy
</t>
    </r>
    <r>
      <rPr>
        <sz val="10"/>
        <rFont val="Times New Roman"/>
        <family val="1"/>
        <charset val="238"/>
      </rPr>
      <t xml:space="preserve">(gr/kWh)
</t>
    </r>
    <r>
      <rPr>
        <i/>
        <sz val="10"/>
        <rFont val="Times New Roman"/>
        <family val="1"/>
        <charset val="238"/>
      </rPr>
      <t>(zaokrąglenie 
do 3 miejsc 
po przecinku)</t>
    </r>
  </si>
  <si>
    <r>
      <rPr>
        <b/>
        <sz val="10"/>
        <rFont val="Times New Roman"/>
        <family val="1"/>
        <charset val="238"/>
      </rPr>
      <t xml:space="preserve">Cena jednostkowa za gaz z akcyzą 1,28 zł/GJ*
</t>
    </r>
    <r>
      <rPr>
        <sz val="10"/>
        <rFont val="Times New Roman"/>
        <family val="1"/>
        <charset val="238"/>
      </rPr>
      <t xml:space="preserve">(gr/kWh)
</t>
    </r>
    <r>
      <rPr>
        <i/>
        <sz val="10"/>
        <rFont val="Times New Roman"/>
        <family val="1"/>
        <charset val="238"/>
      </rPr>
      <t>(kol. 10 + 0,362)</t>
    </r>
  </si>
  <si>
    <r>
      <rPr>
        <b/>
        <sz val="10"/>
        <rFont val="Times New Roman"/>
        <family val="1"/>
        <charset val="238"/>
      </rPr>
      <t>Abonament</t>
    </r>
    <r>
      <rPr>
        <sz val="10"/>
        <rFont val="Times New Roman"/>
        <family val="1"/>
        <charset val="238"/>
      </rPr>
      <t xml:space="preserve"> 
(zł/m-c)
</t>
    </r>
    <r>
      <rPr>
        <i/>
        <sz val="10"/>
        <rFont val="Times New Roman"/>
        <family val="1"/>
        <charset val="238"/>
      </rPr>
      <t>(zaokrąglenie do 3 miejsc po przecinku)</t>
    </r>
  </si>
  <si>
    <t>Łącznie (zł)
(kol. 4 × kol. 10) /100 + (kol. 5 × kol. 11) /100 + (kol. 2 × kol. 7 × kol. 12)
(zaokrąglenie do 3 miejsc po przecinku)</t>
  </si>
  <si>
    <r>
      <rPr>
        <b/>
        <sz val="10"/>
        <rFont val="Times New Roman"/>
        <family val="1"/>
        <charset val="238"/>
      </rPr>
      <t xml:space="preserve">Stawka opłaty stałej </t>
    </r>
    <r>
      <rPr>
        <sz val="10"/>
        <rFont val="Times New Roman"/>
        <family val="1"/>
        <charset val="238"/>
      </rPr>
      <t xml:space="preserve">
a) (zł/m-c) 
dla grup taryfowych z ozn. 
W-1, W-2, W-3, W-4
b) (gr/(kWh/h) za h) 
dla grup taryfowych z ozn. 
W-5, W-6, W-7</t>
    </r>
  </si>
  <si>
    <t>Łącznie opłata stała (zł)
a) (kol. 2 × kol. 7 × kol. 14) 
dla grup taryfowych z ozn.
W-1, W-2, W-3, W-4
b) (kol. 3 × kol. 8 × 24 h × kol. 14) /100 
dla grup taryfowych z ozn.
W-5, W-6, W-7
(zaokrąglenie do 3
miejsc po przecinku)</t>
  </si>
  <si>
    <r>
      <t xml:space="preserve">Stawka opłaty zmiennej 
</t>
    </r>
    <r>
      <rPr>
        <sz val="10"/>
        <rFont val="Times New Roman"/>
        <family val="1"/>
        <charset val="238"/>
      </rPr>
      <t>(gr/kWh)</t>
    </r>
  </si>
  <si>
    <t>Łącznie opłata zmienna (zł)
(kol. 6 × kol. 16) /100
(zaokrąglenie do 3 miejsc po przecinku)</t>
  </si>
  <si>
    <t>Łącznie usługi dystrybucyjne (zł)
(kol. 15 + kol. 17)</t>
  </si>
  <si>
    <t>(suma kol. 13 
+ kol. 18)</t>
  </si>
  <si>
    <t>(kol. 19) + podatek VAT
(zaokrąglenie do 3 miejsc po przecinku)</t>
  </si>
  <si>
    <t>W-1.1</t>
  </si>
  <si>
    <r>
      <rPr>
        <sz val="10"/>
        <rFont val="Arial"/>
        <family val="2"/>
        <charset val="238"/>
      </rPr>
      <t>&gt;</t>
    </r>
    <r>
      <rPr>
        <sz val="9"/>
        <rFont val="Times New Roman"/>
        <family val="1"/>
        <charset val="238"/>
      </rPr>
      <t>110,00</t>
    </r>
  </si>
  <si>
    <t>PSG Sp. z o.o. - Warszawa</t>
  </si>
  <si>
    <t>W-3.6</t>
  </si>
  <si>
    <t>W-4</t>
  </si>
  <si>
    <t>W5</t>
  </si>
  <si>
    <t>W-5</t>
  </si>
  <si>
    <t>W3.9</t>
  </si>
  <si>
    <t>&gt;110,00</t>
  </si>
  <si>
    <t>Kompleksowa dostawa gazu dla Miasta Mława od dnia 01.09.2018 r. do dnia  30 .06.2020 r. ( 22 miesiące) z dwoma wyjątkami w taryfie W5 ( 18 miesięcy - od dnia 01 stycznia 2019 r.)</t>
  </si>
  <si>
    <t>SUMA:</t>
  </si>
  <si>
    <t>Uwaga: w związku z podaniem mocy umownej w kwh  w grupie taryfowej W5 w wierszu w którym znajduje się  5 punktów odbioru należy pomnożyc moc x 5 co przekłada się na wartość  605 kwh. Analogicznie należy postapić w zakresie pozostałych wskazanych grup taryfowych , gdzie liczba punktów odbioru jest większa od 1, podstawiajac odpowiednie do grupy taryfowej wartości.</t>
  </si>
  <si>
    <t>*Stawkę podatku akcyzowego 1,28 zł/GJ, która ma zastosowanie dla części zużycia paliwa gazowego przeznaczonej na cele opałowe (z wyłączeniem celów objętych zwolnieniem), przeliczono na gr/kWh zgodnie z obowiązującymi zasadami [Art. 89 ust. 1 pkt 13 oraz Art. 88 ust. 7 pkt 4 lit. a Ustawy o podatku akcyzowym] oraz przyjmując wartość ciepła spalania 39,5 MJ/m3.</t>
  </si>
  <si>
    <t>Taryfa</t>
  </si>
  <si>
    <t>IX</t>
  </si>
  <si>
    <t>X</t>
  </si>
  <si>
    <t>XI</t>
  </si>
  <si>
    <t>XII</t>
  </si>
  <si>
    <t>I</t>
  </si>
  <si>
    <t>II</t>
  </si>
  <si>
    <t>III</t>
  </si>
  <si>
    <t>IV</t>
  </si>
  <si>
    <t>V</t>
  </si>
  <si>
    <t>VI</t>
  </si>
  <si>
    <t>VII</t>
  </si>
  <si>
    <t>VIII</t>
  </si>
  <si>
    <t>SUMA 
za 22 m-ce</t>
  </si>
  <si>
    <t>Urząd Miasta Stary Rynek 19</t>
  </si>
  <si>
    <t>Szkoła Podstawowa nr 6</t>
  </si>
  <si>
    <t>Zespół Placówek Oświatowych nr 2</t>
  </si>
  <si>
    <t xml:space="preserve">Zespół Placówek Oświatowych nr 2 </t>
  </si>
  <si>
    <t xml:space="preserve">W-5 </t>
  </si>
  <si>
    <t>SUMA 
za 18 m-cy</t>
  </si>
  <si>
    <t>MOSiR basen Kopernika</t>
  </si>
  <si>
    <t>szkoła Podstawowa nr 3</t>
  </si>
  <si>
    <t>Urzad Miasta Padlewskiego</t>
  </si>
  <si>
    <t>Urzad Miasta Sienkiewicza</t>
  </si>
  <si>
    <t>MOPS Narutowicza  6</t>
  </si>
  <si>
    <t>MPS 4 Krasińskiego   7</t>
  </si>
  <si>
    <t>MOSiR Kopernika 38</t>
  </si>
  <si>
    <t>Urząd Miasta  18 Stycznia 4 lok. 25</t>
  </si>
  <si>
    <t>W3.6</t>
  </si>
  <si>
    <t>Centrum Usług Wspólnych  PL. 1 Maja 6</t>
  </si>
  <si>
    <t>W-3.9</t>
  </si>
  <si>
    <t>SP nr 6 80 Pułku Piechoty 4</t>
  </si>
  <si>
    <t>W 1.1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</si>
</sst>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00"/>
    <numFmt numFmtId="166" formatCode="0.000"/>
  </numFmts>
  <fonts count="9" x14ac:knownFonts="1">
    <font>
      <sz val="11"/>
      <color theme="1"/>
      <name val="Calibri"/>
      <family val="2"/>
      <scheme val="minor"/>
    </font>
    <font>
      <b/>
      <sz val="13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i/>
      <sz val="10"/>
      <name val="Times New Roman"/>
      <family val="1"/>
      <charset val="238"/>
    </font>
    <font>
      <sz val="10"/>
      <name val="Arial"/>
      <family val="2"/>
      <charset val="238"/>
    </font>
    <font>
      <sz val="9"/>
      <name val="Times New Roman"/>
      <family val="1"/>
      <charset val="238"/>
    </font>
    <font>
      <b/>
      <sz val="10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4" fillId="0" borderId="0" xfId="0" applyFont="1"/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166" fontId="3" fillId="4" borderId="1" xfId="0" applyNumberFormat="1" applyFont="1" applyFill="1" applyBorder="1" applyAlignment="1">
      <alignment horizontal="center" vertical="center"/>
    </xf>
    <xf numFmtId="166" fontId="3" fillId="0" borderId="1" xfId="0" applyNumberFormat="1" applyFont="1" applyFill="1" applyBorder="1" applyAlignment="1">
      <alignment horizontal="center" vertical="center"/>
    </xf>
    <xf numFmtId="4" fontId="3" fillId="4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166" fontId="3" fillId="5" borderId="1" xfId="0" applyNumberFormat="1" applyFont="1" applyFill="1" applyBorder="1" applyAlignment="1">
      <alignment horizontal="center" vertical="center"/>
    </xf>
    <xf numFmtId="4" fontId="2" fillId="5" borderId="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64" fontId="3" fillId="0" borderId="2" xfId="0" applyNumberFormat="1" applyFont="1" applyFill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166" fontId="3" fillId="4" borderId="2" xfId="0" applyNumberFormat="1" applyFont="1" applyFill="1" applyBorder="1" applyAlignment="1">
      <alignment horizontal="center" vertical="center"/>
    </xf>
    <xf numFmtId="166" fontId="3" fillId="0" borderId="2" xfId="0" applyNumberFormat="1" applyFont="1" applyFill="1" applyBorder="1" applyAlignment="1">
      <alignment horizontal="center" vertical="center"/>
    </xf>
    <xf numFmtId="4" fontId="3" fillId="4" borderId="2" xfId="0" applyNumberFormat="1" applyFont="1" applyFill="1" applyBorder="1" applyAlignment="1">
      <alignment horizontal="center" vertical="center"/>
    </xf>
    <xf numFmtId="4" fontId="2" fillId="0" borderId="2" xfId="0" applyNumberFormat="1" applyFont="1" applyFill="1" applyBorder="1" applyAlignment="1">
      <alignment horizontal="center" vertical="center"/>
    </xf>
    <xf numFmtId="166" fontId="3" fillId="5" borderId="2" xfId="0" applyNumberFormat="1" applyFont="1" applyFill="1" applyBorder="1" applyAlignment="1">
      <alignment horizontal="center" vertical="center"/>
    </xf>
    <xf numFmtId="4" fontId="2" fillId="5" borderId="2" xfId="0" applyNumberFormat="1" applyFont="1" applyFill="1" applyBorder="1" applyAlignment="1">
      <alignment horizontal="center" vertical="center"/>
    </xf>
    <xf numFmtId="2" fontId="3" fillId="0" borderId="2" xfId="0" applyNumberFormat="1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" fontId="2" fillId="4" borderId="1" xfId="0" applyNumberFormat="1" applyFont="1" applyFill="1" applyBorder="1" applyAlignment="1">
      <alignment horizontal="center" vertical="center"/>
    </xf>
    <xf numFmtId="0" fontId="4" fillId="0" borderId="1" xfId="0" applyFont="1" applyBorder="1"/>
    <xf numFmtId="0" fontId="0" fillId="0" borderId="1" xfId="0" applyBorder="1"/>
    <xf numFmtId="0" fontId="8" fillId="0" borderId="0" xfId="0" applyFont="1" applyAlignment="1">
      <alignment horizontal="center" wrapText="1"/>
    </xf>
    <xf numFmtId="0" fontId="4" fillId="0" borderId="0" xfId="0" applyNumberFormat="1" applyFont="1"/>
    <xf numFmtId="3" fontId="0" fillId="0" borderId="0" xfId="0" applyNumberFormat="1"/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1" xfId="0" applyBorder="1" applyAlignment="1">
      <alignment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9"/>
  <sheetViews>
    <sheetView workbookViewId="0">
      <selection activeCell="J24" sqref="J24"/>
    </sheetView>
  </sheetViews>
  <sheetFormatPr defaultRowHeight="15" x14ac:dyDescent="0.25"/>
  <cols>
    <col min="1" max="1" width="7.5703125" customWidth="1"/>
    <col min="2" max="2" width="7.28515625" customWidth="1"/>
    <col min="3" max="3" width="7" customWidth="1"/>
    <col min="4" max="4" width="13.140625" customWidth="1"/>
    <col min="5" max="5" width="14.42578125" customWidth="1"/>
    <col min="6" max="6" width="13" customWidth="1"/>
    <col min="7" max="7" width="8.85546875" customWidth="1"/>
    <col min="8" max="8" width="8.28515625" customWidth="1"/>
    <col min="9" max="9" width="20" customWidth="1"/>
    <col min="10" max="10" width="12.42578125" customWidth="1"/>
    <col min="11" max="11" width="13.42578125" customWidth="1"/>
    <col min="12" max="12" width="13" customWidth="1"/>
    <col min="13" max="13" width="18" customWidth="1"/>
    <col min="14" max="14" width="17.5703125" customWidth="1"/>
    <col min="15" max="15" width="21.85546875" customWidth="1"/>
    <col min="17" max="17" width="14.7109375" customWidth="1"/>
    <col min="18" max="18" width="15.5703125" customWidth="1"/>
    <col min="19" max="19" width="13.140625" customWidth="1"/>
    <col min="20" max="20" width="12.85546875" customWidth="1"/>
  </cols>
  <sheetData>
    <row r="1" spans="1:24" ht="17.2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4" ht="38.25" x14ac:dyDescent="0.25">
      <c r="A2" s="2" t="s">
        <v>1</v>
      </c>
      <c r="B2" s="2" t="s">
        <v>2</v>
      </c>
      <c r="C2" s="2" t="s">
        <v>3</v>
      </c>
      <c r="D2" s="3" t="s">
        <v>4</v>
      </c>
      <c r="E2" s="3" t="s">
        <v>5</v>
      </c>
      <c r="F2" s="3" t="s">
        <v>6</v>
      </c>
      <c r="G2" s="2" t="s">
        <v>7</v>
      </c>
      <c r="H2" s="2" t="s">
        <v>8</v>
      </c>
      <c r="I2" s="2" t="s">
        <v>9</v>
      </c>
      <c r="J2" s="4" t="s">
        <v>10</v>
      </c>
      <c r="K2" s="4"/>
      <c r="L2" s="4"/>
      <c r="M2" s="4"/>
      <c r="N2" s="4" t="s">
        <v>11</v>
      </c>
      <c r="O2" s="4"/>
      <c r="P2" s="4"/>
      <c r="Q2" s="4"/>
      <c r="R2" s="4"/>
      <c r="S2" s="5" t="s">
        <v>12</v>
      </c>
      <c r="T2" s="5" t="s">
        <v>13</v>
      </c>
      <c r="U2" s="6"/>
      <c r="V2" s="6"/>
      <c r="W2" s="6"/>
      <c r="X2" s="6"/>
    </row>
    <row r="3" spans="1:24" ht="153" x14ac:dyDescent="0.25">
      <c r="A3" s="2"/>
      <c r="B3" s="2"/>
      <c r="C3" s="2"/>
      <c r="D3" s="3"/>
      <c r="E3" s="3"/>
      <c r="F3" s="3"/>
      <c r="G3" s="2"/>
      <c r="H3" s="2"/>
      <c r="I3" s="2"/>
      <c r="J3" s="7" t="s">
        <v>14</v>
      </c>
      <c r="K3" s="7" t="s">
        <v>15</v>
      </c>
      <c r="L3" s="7" t="s">
        <v>16</v>
      </c>
      <c r="M3" s="7" t="s">
        <v>17</v>
      </c>
      <c r="N3" s="7" t="s">
        <v>18</v>
      </c>
      <c r="O3" s="7" t="s">
        <v>19</v>
      </c>
      <c r="P3" s="8" t="s">
        <v>20</v>
      </c>
      <c r="Q3" s="7" t="s">
        <v>21</v>
      </c>
      <c r="R3" s="7" t="s">
        <v>22</v>
      </c>
      <c r="S3" s="7" t="s">
        <v>23</v>
      </c>
      <c r="T3" s="7" t="s">
        <v>24</v>
      </c>
      <c r="U3" s="6"/>
      <c r="V3" s="6"/>
      <c r="W3" s="6"/>
      <c r="X3" s="6"/>
    </row>
    <row r="4" spans="1:24" x14ac:dyDescent="0.25">
      <c r="A4" s="9" t="str">
        <f>"-1-"</f>
        <v>-1-</v>
      </c>
      <c r="B4" s="9" t="str">
        <f>"-2-"</f>
        <v>-2-</v>
      </c>
      <c r="C4" s="9" t="str">
        <f>"-3-"</f>
        <v>-3-</v>
      </c>
      <c r="D4" s="9" t="str">
        <f>"-4-"</f>
        <v>-4-</v>
      </c>
      <c r="E4" s="9" t="str">
        <f>"-5-"</f>
        <v>-5-</v>
      </c>
      <c r="F4" s="9" t="str">
        <f>"-6-"</f>
        <v>-6-</v>
      </c>
      <c r="G4" s="9" t="str">
        <f>"-7-"</f>
        <v>-7-</v>
      </c>
      <c r="H4" s="9" t="str">
        <f>"-8-"</f>
        <v>-8-</v>
      </c>
      <c r="I4" s="9" t="str">
        <f>"-9-"</f>
        <v>-9-</v>
      </c>
      <c r="J4" s="9" t="str">
        <f>"-10-"</f>
        <v>-10-</v>
      </c>
      <c r="K4" s="9" t="str">
        <f>"-11-"</f>
        <v>-11-</v>
      </c>
      <c r="L4" s="9" t="str">
        <f>"-12-"</f>
        <v>-12-</v>
      </c>
      <c r="M4" s="9" t="str">
        <f>"-13-"</f>
        <v>-13-</v>
      </c>
      <c r="N4" s="9" t="str">
        <f>"-14-"</f>
        <v>-14-</v>
      </c>
      <c r="O4" s="9" t="str">
        <f>"-15-"</f>
        <v>-15-</v>
      </c>
      <c r="P4" s="9" t="str">
        <f>"-16-"</f>
        <v>-16-</v>
      </c>
      <c r="Q4" s="9" t="str">
        <f>"-17-"</f>
        <v>-17-</v>
      </c>
      <c r="R4" s="9" t="str">
        <f>"-18-"</f>
        <v>-18-</v>
      </c>
      <c r="S4" s="9" t="str">
        <f>"-19-"</f>
        <v>-19-</v>
      </c>
      <c r="T4" s="9" t="str">
        <f>"-20-"</f>
        <v>-20-</v>
      </c>
      <c r="U4" s="6"/>
      <c r="V4" s="6"/>
      <c r="W4" s="6"/>
      <c r="X4" s="6"/>
    </row>
    <row r="5" spans="1:24" x14ac:dyDescent="0.25">
      <c r="A5" s="10" t="s">
        <v>25</v>
      </c>
      <c r="B5" s="10">
        <v>1</v>
      </c>
      <c r="C5" s="11" t="s">
        <v>26</v>
      </c>
      <c r="D5" s="12">
        <v>9522</v>
      </c>
      <c r="E5" s="12">
        <v>0</v>
      </c>
      <c r="F5" s="12">
        <v>9522</v>
      </c>
      <c r="G5" s="13">
        <v>22</v>
      </c>
      <c r="H5" s="13">
        <v>668</v>
      </c>
      <c r="I5" s="14" t="s">
        <v>27</v>
      </c>
      <c r="J5" s="15"/>
      <c r="K5" s="16" t="str">
        <f>IF(J5=0,"",J5+0.362)</f>
        <v/>
      </c>
      <c r="L5" s="17"/>
      <c r="M5" s="18" t="str">
        <f t="shared" ref="M5:M11" si="0">IF(J5&gt;0,ROUND(D5*J5/100+E5*K5/100+L5*G5*B5,2),"")</f>
        <v/>
      </c>
      <c r="N5" s="19"/>
      <c r="O5" s="20">
        <f>ROUND(IF(VALUE(MID(A5,3,1))&lt;5,B5*N5*G5,(H5*24*C5*N5)/100),2)</f>
        <v>0</v>
      </c>
      <c r="P5" s="19"/>
      <c r="Q5" s="20">
        <f t="shared" ref="Q5:Q11" si="1">ROUND(P5*F5/100,2)</f>
        <v>0</v>
      </c>
      <c r="R5" s="18">
        <f>O5+Q5</f>
        <v>0</v>
      </c>
      <c r="S5" s="18" t="str">
        <f>IF(J5&gt;0,M5+R5,"")</f>
        <v/>
      </c>
      <c r="T5" s="18" t="str">
        <f>IF(J5&gt;0,ROUND(S5*1.23,2),"")</f>
        <v/>
      </c>
      <c r="U5" s="6"/>
      <c r="V5" s="6"/>
      <c r="W5" s="6"/>
      <c r="X5" s="6"/>
    </row>
    <row r="6" spans="1:24" x14ac:dyDescent="0.25">
      <c r="A6" s="10" t="s">
        <v>28</v>
      </c>
      <c r="B6" s="10">
        <v>6</v>
      </c>
      <c r="C6" s="11" t="s">
        <v>26</v>
      </c>
      <c r="D6" s="12">
        <v>363919</v>
      </c>
      <c r="E6" s="12">
        <v>0</v>
      </c>
      <c r="F6" s="12">
        <v>363919</v>
      </c>
      <c r="G6" s="13">
        <v>22</v>
      </c>
      <c r="H6" s="13">
        <v>668</v>
      </c>
      <c r="I6" s="14" t="s">
        <v>27</v>
      </c>
      <c r="J6" s="15"/>
      <c r="K6" s="16" t="str">
        <f t="shared" ref="K6:K11" si="2">IF(J6=0,"",J6+0.362)</f>
        <v/>
      </c>
      <c r="L6" s="17"/>
      <c r="M6" s="18" t="str">
        <f t="shared" si="0"/>
        <v/>
      </c>
      <c r="N6" s="19"/>
      <c r="O6" s="20">
        <f t="shared" ref="O6:O11" si="3">ROUND(IF(VALUE(MID(A6,3,1))&lt;5,B6*N6*G6,(H6*24*C6*N6)/100),2)</f>
        <v>0</v>
      </c>
      <c r="P6" s="19"/>
      <c r="Q6" s="20">
        <f t="shared" si="1"/>
        <v>0</v>
      </c>
      <c r="R6" s="18">
        <f t="shared" ref="R6:R11" si="4">O6+Q6</f>
        <v>0</v>
      </c>
      <c r="S6" s="18" t="str">
        <f t="shared" ref="S6:S11" si="5">IF(J6&gt;0,M6+R6,"")</f>
        <v/>
      </c>
      <c r="T6" s="18" t="str">
        <f t="shared" ref="T6:T11" si="6">IF(J6&gt;0,ROUND(S6*1.23,2),"")</f>
        <v/>
      </c>
      <c r="U6" s="6"/>
      <c r="V6" s="6"/>
      <c r="W6" s="6"/>
      <c r="X6" s="6"/>
    </row>
    <row r="7" spans="1:24" x14ac:dyDescent="0.25">
      <c r="A7" s="10" t="s">
        <v>29</v>
      </c>
      <c r="B7" s="10">
        <v>3</v>
      </c>
      <c r="C7" s="11" t="s">
        <v>26</v>
      </c>
      <c r="D7" s="12">
        <v>306732</v>
      </c>
      <c r="E7" s="12">
        <v>0</v>
      </c>
      <c r="F7" s="12">
        <v>306732</v>
      </c>
      <c r="G7" s="13">
        <v>22</v>
      </c>
      <c r="H7" s="13">
        <v>668</v>
      </c>
      <c r="I7" s="14" t="s">
        <v>27</v>
      </c>
      <c r="J7" s="15"/>
      <c r="K7" s="16" t="str">
        <f t="shared" si="2"/>
        <v/>
      </c>
      <c r="L7" s="17"/>
      <c r="M7" s="18" t="str">
        <f t="shared" si="0"/>
        <v/>
      </c>
      <c r="N7" s="19"/>
      <c r="O7" s="20">
        <f t="shared" si="3"/>
        <v>0</v>
      </c>
      <c r="P7" s="19"/>
      <c r="Q7" s="20">
        <f t="shared" si="1"/>
        <v>0</v>
      </c>
      <c r="R7" s="18">
        <f t="shared" si="4"/>
        <v>0</v>
      </c>
      <c r="S7" s="18" t="str">
        <f t="shared" si="5"/>
        <v/>
      </c>
      <c r="T7" s="18" t="str">
        <f t="shared" si="6"/>
        <v/>
      </c>
      <c r="U7" s="6"/>
      <c r="V7" s="6"/>
      <c r="W7" s="6"/>
      <c r="X7" s="6"/>
    </row>
    <row r="8" spans="1:24" x14ac:dyDescent="0.25">
      <c r="A8" s="21" t="s">
        <v>30</v>
      </c>
      <c r="B8" s="21">
        <v>1</v>
      </c>
      <c r="C8" s="22">
        <v>121</v>
      </c>
      <c r="D8" s="12">
        <v>281617</v>
      </c>
      <c r="E8" s="23">
        <v>0</v>
      </c>
      <c r="F8" s="12">
        <v>281617</v>
      </c>
      <c r="G8" s="24">
        <v>18</v>
      </c>
      <c r="H8" s="24">
        <v>545</v>
      </c>
      <c r="I8" s="14" t="s">
        <v>27</v>
      </c>
      <c r="J8" s="25"/>
      <c r="K8" s="26"/>
      <c r="L8" s="27"/>
      <c r="M8" s="28"/>
      <c r="N8" s="29"/>
      <c r="O8" s="30">
        <v>0</v>
      </c>
      <c r="P8" s="29"/>
      <c r="Q8" s="30">
        <v>0</v>
      </c>
      <c r="R8" s="28">
        <v>0</v>
      </c>
      <c r="S8" s="28"/>
      <c r="T8" s="28"/>
      <c r="U8" s="6"/>
      <c r="V8" s="6"/>
      <c r="W8" s="6"/>
      <c r="X8" s="6"/>
    </row>
    <row r="9" spans="1:24" x14ac:dyDescent="0.25">
      <c r="A9" s="21" t="s">
        <v>30</v>
      </c>
      <c r="B9" s="21">
        <v>1</v>
      </c>
      <c r="C9" s="31">
        <v>121</v>
      </c>
      <c r="D9" s="12">
        <v>221433</v>
      </c>
      <c r="E9" s="23">
        <v>0</v>
      </c>
      <c r="F9" s="12">
        <v>221433</v>
      </c>
      <c r="G9" s="24">
        <v>18</v>
      </c>
      <c r="H9" s="24">
        <v>545</v>
      </c>
      <c r="I9" s="14" t="s">
        <v>27</v>
      </c>
      <c r="J9" s="25"/>
      <c r="K9" s="26"/>
      <c r="L9" s="27"/>
      <c r="M9" s="28"/>
      <c r="N9" s="29"/>
      <c r="O9" s="30">
        <v>0</v>
      </c>
      <c r="P9" s="29"/>
      <c r="Q9" s="30">
        <v>0</v>
      </c>
      <c r="R9" s="28">
        <v>0</v>
      </c>
      <c r="S9" s="28"/>
      <c r="T9" s="28"/>
      <c r="U9" s="6"/>
      <c r="V9" s="6"/>
      <c r="W9" s="6"/>
      <c r="X9" s="6"/>
    </row>
    <row r="10" spans="1:24" x14ac:dyDescent="0.25">
      <c r="A10" s="21" t="s">
        <v>31</v>
      </c>
      <c r="B10" s="21">
        <v>5</v>
      </c>
      <c r="C10" s="31">
        <v>121</v>
      </c>
      <c r="D10" s="12">
        <v>2914357</v>
      </c>
      <c r="E10" s="23">
        <v>0</v>
      </c>
      <c r="F10" s="12">
        <v>2914357</v>
      </c>
      <c r="G10" s="24">
        <v>22</v>
      </c>
      <c r="H10" s="24">
        <v>668</v>
      </c>
      <c r="I10" s="14" t="s">
        <v>27</v>
      </c>
      <c r="J10" s="25"/>
      <c r="K10" s="26"/>
      <c r="L10" s="27"/>
      <c r="M10" s="28"/>
      <c r="N10" s="29"/>
      <c r="O10" s="30">
        <v>0</v>
      </c>
      <c r="P10" s="29"/>
      <c r="Q10" s="30">
        <v>0</v>
      </c>
      <c r="R10" s="28">
        <v>0</v>
      </c>
      <c r="S10" s="28"/>
      <c r="T10" s="28"/>
      <c r="U10" s="6"/>
      <c r="V10" s="6"/>
      <c r="W10" s="6"/>
      <c r="X10" s="6"/>
    </row>
    <row r="11" spans="1:24" x14ac:dyDescent="0.25">
      <c r="A11" s="21" t="s">
        <v>32</v>
      </c>
      <c r="B11" s="21">
        <v>1</v>
      </c>
      <c r="C11" s="22" t="s">
        <v>33</v>
      </c>
      <c r="D11" s="12">
        <v>38222</v>
      </c>
      <c r="E11" s="23">
        <v>0</v>
      </c>
      <c r="F11" s="12">
        <f>SUM(D11:E11)</f>
        <v>38222</v>
      </c>
      <c r="G11" s="24">
        <v>22</v>
      </c>
      <c r="H11" s="24">
        <v>668</v>
      </c>
      <c r="I11" s="32" t="s">
        <v>27</v>
      </c>
      <c r="J11" s="25"/>
      <c r="K11" s="26" t="str">
        <f t="shared" si="2"/>
        <v/>
      </c>
      <c r="L11" s="27"/>
      <c r="M11" s="28" t="str">
        <f t="shared" si="0"/>
        <v/>
      </c>
      <c r="N11" s="29"/>
      <c r="O11" s="30" t="e">
        <f t="shared" si="3"/>
        <v>#VALUE!</v>
      </c>
      <c r="P11" s="29"/>
      <c r="Q11" s="30">
        <f t="shared" si="1"/>
        <v>0</v>
      </c>
      <c r="R11" s="28" t="e">
        <f t="shared" si="4"/>
        <v>#VALUE!</v>
      </c>
      <c r="S11" s="28" t="str">
        <f t="shared" si="5"/>
        <v/>
      </c>
      <c r="T11" s="28" t="str">
        <f t="shared" si="6"/>
        <v/>
      </c>
      <c r="U11" s="6"/>
      <c r="V11" s="6"/>
      <c r="W11" s="6"/>
      <c r="X11" s="6"/>
    </row>
    <row r="12" spans="1:24" s="38" customFormat="1" x14ac:dyDescent="0.25">
      <c r="A12" s="33" t="s">
        <v>34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4" t="s">
        <v>35</v>
      </c>
      <c r="S12" s="35" t="str">
        <f>IF(SUM(S5:S11)=0,"",SUM(S5:S11))</f>
        <v/>
      </c>
      <c r="T12" s="36" t="str">
        <f>IF(SUM(T5:T11)=0,"",SUM(T5:T11))</f>
        <v/>
      </c>
      <c r="U12" s="37"/>
      <c r="V12" s="37"/>
      <c r="W12" s="37"/>
      <c r="X12" s="37"/>
    </row>
    <row r="13" spans="1:24" x14ac:dyDescent="0.2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</row>
    <row r="14" spans="1:24" x14ac:dyDescent="0.25">
      <c r="A14" s="39" t="s">
        <v>36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6"/>
      <c r="V14" s="6"/>
      <c r="W14" s="6"/>
      <c r="X14" s="6"/>
    </row>
    <row r="15" spans="1:24" x14ac:dyDescent="0.25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6"/>
      <c r="V15" s="6"/>
      <c r="W15" s="6"/>
      <c r="X15" s="6"/>
    </row>
    <row r="16" spans="1:24" x14ac:dyDescent="0.25">
      <c r="A16" s="40" t="s">
        <v>37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</row>
    <row r="19" spans="6:6" x14ac:dyDescent="0.25">
      <c r="F19" s="41"/>
    </row>
  </sheetData>
  <protectedRanges>
    <protectedRange sqref="J5:J11" name="Rozstęp1"/>
    <protectedRange sqref="L5:L11" name="Rozstęp2"/>
  </protectedRanges>
  <mergeCells count="14">
    <mergeCell ref="J2:M2"/>
    <mergeCell ref="N2:R2"/>
    <mergeCell ref="A12:Q12"/>
    <mergeCell ref="A14:T15"/>
    <mergeCell ref="A1:T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"/>
  <sheetViews>
    <sheetView workbookViewId="0">
      <selection activeCell="B20" sqref="B20"/>
    </sheetView>
  </sheetViews>
  <sheetFormatPr defaultRowHeight="15" x14ac:dyDescent="0.25"/>
  <sheetData>
    <row r="1" spans="1:25" ht="38.25" x14ac:dyDescent="0.25">
      <c r="A1" s="42"/>
      <c r="B1" s="43" t="s">
        <v>38</v>
      </c>
      <c r="C1" s="42" t="s">
        <v>39</v>
      </c>
      <c r="D1" s="42" t="s">
        <v>40</v>
      </c>
      <c r="E1" s="42" t="s">
        <v>41</v>
      </c>
      <c r="F1" s="42" t="s">
        <v>42</v>
      </c>
      <c r="G1" s="42" t="s">
        <v>43</v>
      </c>
      <c r="H1" s="42" t="s">
        <v>44</v>
      </c>
      <c r="I1" s="42" t="s">
        <v>45</v>
      </c>
      <c r="J1" s="42" t="s">
        <v>46</v>
      </c>
      <c r="K1" s="42" t="s">
        <v>47</v>
      </c>
      <c r="L1" s="42" t="s">
        <v>48</v>
      </c>
      <c r="M1" s="42" t="s">
        <v>49</v>
      </c>
      <c r="N1" s="42" t="s">
        <v>50</v>
      </c>
      <c r="O1" s="42" t="s">
        <v>39</v>
      </c>
      <c r="P1" s="42" t="s">
        <v>40</v>
      </c>
      <c r="Q1" s="42" t="s">
        <v>41</v>
      </c>
      <c r="R1" s="42" t="s">
        <v>42</v>
      </c>
      <c r="S1" s="42" t="s">
        <v>43</v>
      </c>
      <c r="T1" s="42" t="s">
        <v>44</v>
      </c>
      <c r="U1" s="42" t="s">
        <v>45</v>
      </c>
      <c r="V1" s="42" t="s">
        <v>46</v>
      </c>
      <c r="W1" s="42" t="s">
        <v>47</v>
      </c>
      <c r="X1" s="42" t="s">
        <v>48</v>
      </c>
      <c r="Y1" s="43" t="s">
        <v>51</v>
      </c>
    </row>
    <row r="2" spans="1:25" ht="51" x14ac:dyDescent="0.25">
      <c r="A2" s="44" t="s">
        <v>52</v>
      </c>
      <c r="B2" s="45" t="s">
        <v>31</v>
      </c>
      <c r="C2" s="45">
        <v>3.488</v>
      </c>
      <c r="D2" s="45">
        <v>24.218</v>
      </c>
      <c r="E2" s="45">
        <v>26.704999999999998</v>
      </c>
      <c r="F2" s="45">
        <v>29.79</v>
      </c>
      <c r="G2" s="45">
        <v>51.091000000000001</v>
      </c>
      <c r="H2" s="45">
        <v>31.087</v>
      </c>
      <c r="I2" s="45">
        <v>26.606000000000002</v>
      </c>
      <c r="J2" s="45">
        <v>18.186</v>
      </c>
      <c r="K2" s="45">
        <v>5.1529999999999996</v>
      </c>
      <c r="L2" s="45">
        <v>4.4999999999999998E-2</v>
      </c>
      <c r="M2" s="45">
        <v>0</v>
      </c>
      <c r="N2" s="45">
        <v>0</v>
      </c>
      <c r="O2" s="45">
        <v>3.488</v>
      </c>
      <c r="P2" s="45">
        <v>24.218</v>
      </c>
      <c r="Q2" s="45">
        <v>26.704999999999998</v>
      </c>
      <c r="R2" s="45">
        <v>29.79</v>
      </c>
      <c r="S2" s="45">
        <v>51.091000000000001</v>
      </c>
      <c r="T2" s="45">
        <v>31.087</v>
      </c>
      <c r="U2" s="45">
        <v>26.606000000000002</v>
      </c>
      <c r="V2" s="45">
        <v>18.186</v>
      </c>
      <c r="W2" s="45">
        <v>5.1529999999999996</v>
      </c>
      <c r="X2" s="45">
        <v>4.4999999999999998E-2</v>
      </c>
      <c r="Y2" s="42">
        <f>SUM(C2:X2)</f>
        <v>432.738</v>
      </c>
    </row>
    <row r="3" spans="1:25" ht="38.25" x14ac:dyDescent="0.25">
      <c r="A3" s="44" t="s">
        <v>53</v>
      </c>
      <c r="B3" s="45" t="s">
        <v>31</v>
      </c>
      <c r="C3" s="45">
        <v>3.0710000000000002</v>
      </c>
      <c r="D3" s="45">
        <v>24.31</v>
      </c>
      <c r="E3" s="45">
        <v>38.326000000000001</v>
      </c>
      <c r="F3" s="45">
        <v>43.991</v>
      </c>
      <c r="G3" s="45">
        <v>55.676000000000002</v>
      </c>
      <c r="H3" s="45">
        <v>43.485999999999997</v>
      </c>
      <c r="I3" s="45">
        <v>43.887999999999998</v>
      </c>
      <c r="J3" s="45">
        <v>15.772</v>
      </c>
      <c r="K3" s="45">
        <v>3.6030000000000002</v>
      </c>
      <c r="L3" s="45">
        <v>2.4359999999999999</v>
      </c>
      <c r="M3" s="45">
        <v>2.367</v>
      </c>
      <c r="N3" s="45">
        <v>2.5209999999999999</v>
      </c>
      <c r="O3" s="45">
        <v>3.0710000000000002</v>
      </c>
      <c r="P3" s="45">
        <v>24.31</v>
      </c>
      <c r="Q3" s="45">
        <v>38.326000000000001</v>
      </c>
      <c r="R3" s="45">
        <v>43.991</v>
      </c>
      <c r="S3" s="45">
        <v>55.676000000000002</v>
      </c>
      <c r="T3" s="45">
        <v>43.485999999999997</v>
      </c>
      <c r="U3" s="45">
        <v>43.887999999999998</v>
      </c>
      <c r="V3" s="45">
        <v>15.772</v>
      </c>
      <c r="W3" s="45">
        <v>3.6030000000000002</v>
      </c>
      <c r="X3" s="45">
        <v>2.4359999999999999</v>
      </c>
      <c r="Y3" s="42">
        <f>SUM(C3:X3)</f>
        <v>554.00600000000009</v>
      </c>
    </row>
    <row r="4" spans="1:25" ht="38.25" x14ac:dyDescent="0.25">
      <c r="A4" s="44" t="s">
        <v>53</v>
      </c>
      <c r="B4" s="45" t="s">
        <v>31</v>
      </c>
      <c r="C4" s="45">
        <v>2.145</v>
      </c>
      <c r="D4" s="45">
        <v>30.861999999999998</v>
      </c>
      <c r="E4" s="45">
        <v>41.753</v>
      </c>
      <c r="F4" s="45">
        <v>50.424999999999997</v>
      </c>
      <c r="G4" s="45">
        <v>60.484000000000002</v>
      </c>
      <c r="H4" s="45">
        <v>68.501000000000005</v>
      </c>
      <c r="I4" s="45">
        <v>43.887999999999998</v>
      </c>
      <c r="J4" s="45">
        <v>20.777999999999999</v>
      </c>
      <c r="K4" s="45">
        <v>2.7639999999999998</v>
      </c>
      <c r="L4" s="45">
        <v>2.1970000000000001</v>
      </c>
      <c r="M4" s="45">
        <v>1.3819999999999999</v>
      </c>
      <c r="N4" s="45">
        <v>1.542</v>
      </c>
      <c r="O4" s="45">
        <v>2.145</v>
      </c>
      <c r="P4" s="45">
        <v>30.861999999999998</v>
      </c>
      <c r="Q4" s="45">
        <v>41.753</v>
      </c>
      <c r="R4" s="45">
        <v>50.424999999999997</v>
      </c>
      <c r="S4" s="45">
        <v>60.484000000000002</v>
      </c>
      <c r="T4" s="45">
        <v>68.501000000000005</v>
      </c>
      <c r="U4" s="45">
        <v>43.887999999999998</v>
      </c>
      <c r="V4" s="45">
        <v>20.777999999999999</v>
      </c>
      <c r="W4" s="45">
        <v>2.7639999999999998</v>
      </c>
      <c r="X4" s="45">
        <v>2.1970000000000001</v>
      </c>
      <c r="Y4" s="42">
        <f t="shared" ref="Y4:Y7" si="0">SUM(C4:X4)</f>
        <v>650.51800000000003</v>
      </c>
    </row>
    <row r="5" spans="1:25" ht="51" x14ac:dyDescent="0.25">
      <c r="A5" s="44" t="s">
        <v>54</v>
      </c>
      <c r="B5" s="45" t="s">
        <v>31</v>
      </c>
      <c r="C5" s="45">
        <v>0.93200000000000005</v>
      </c>
      <c r="D5" s="45">
        <v>13.414999999999999</v>
      </c>
      <c r="E5" s="45">
        <v>18.149000000000001</v>
      </c>
      <c r="F5" s="45">
        <v>21.919</v>
      </c>
      <c r="G5" s="45">
        <v>27.119</v>
      </c>
      <c r="H5" s="45">
        <v>21.49</v>
      </c>
      <c r="I5" s="45">
        <v>17.292000000000002</v>
      </c>
      <c r="J5" s="45">
        <v>9.9770000000000003</v>
      </c>
      <c r="K5" s="45">
        <v>3.9</v>
      </c>
      <c r="L5" s="45">
        <v>2.379</v>
      </c>
      <c r="M5" s="45">
        <v>0.59</v>
      </c>
      <c r="N5" s="45">
        <v>0.67</v>
      </c>
      <c r="O5" s="45">
        <v>0.93200000000000005</v>
      </c>
      <c r="P5" s="45">
        <v>13.414999999999999</v>
      </c>
      <c r="Q5" s="45">
        <v>18.149000000000001</v>
      </c>
      <c r="R5" s="45">
        <v>21.919</v>
      </c>
      <c r="S5" s="45">
        <v>27.119</v>
      </c>
      <c r="T5" s="45">
        <v>21.49</v>
      </c>
      <c r="U5" s="45">
        <v>17.292000000000002</v>
      </c>
      <c r="V5" s="45">
        <v>9.9770000000000003</v>
      </c>
      <c r="W5" s="45">
        <v>3.9</v>
      </c>
      <c r="X5" s="45">
        <v>2.379</v>
      </c>
      <c r="Y5" s="42">
        <f t="shared" si="0"/>
        <v>274.404</v>
      </c>
    </row>
    <row r="6" spans="1:25" ht="51" x14ac:dyDescent="0.25">
      <c r="A6" s="44" t="s">
        <v>55</v>
      </c>
      <c r="B6" s="45" t="s">
        <v>56</v>
      </c>
      <c r="C6" s="45">
        <v>3.4529999999999998</v>
      </c>
      <c r="D6" s="45">
        <v>49.686999999999998</v>
      </c>
      <c r="E6" s="45">
        <v>67.721999999999994</v>
      </c>
      <c r="F6" s="45">
        <v>81.183999999999997</v>
      </c>
      <c r="G6" s="45">
        <v>97.825999999999993</v>
      </c>
      <c r="H6" s="45">
        <v>80.37</v>
      </c>
      <c r="I6" s="45">
        <v>69.492999999999995</v>
      </c>
      <c r="J6" s="45">
        <v>38.106000000000002</v>
      </c>
      <c r="K6" s="45">
        <v>7.93</v>
      </c>
      <c r="L6" s="45">
        <v>3.472</v>
      </c>
      <c r="M6" s="45">
        <v>2.222</v>
      </c>
      <c r="N6" s="45">
        <v>2.4830000000000001</v>
      </c>
      <c r="O6" s="45">
        <v>3.4529999999999998</v>
      </c>
      <c r="P6" s="45">
        <v>49.686999999999998</v>
      </c>
      <c r="Q6" s="45">
        <v>67.221999999999994</v>
      </c>
      <c r="R6" s="45">
        <v>81.183999999999997</v>
      </c>
      <c r="S6" s="45">
        <v>97.825999999999993</v>
      </c>
      <c r="T6" s="45">
        <v>80.37</v>
      </c>
      <c r="U6" s="45">
        <v>69.492999999999995</v>
      </c>
      <c r="V6" s="45">
        <v>38.106000000000002</v>
      </c>
      <c r="W6" s="45">
        <v>7.93</v>
      </c>
      <c r="X6" s="45">
        <v>3.472</v>
      </c>
      <c r="Y6" s="42">
        <f t="shared" si="0"/>
        <v>1002.6909999999997</v>
      </c>
    </row>
    <row r="7" spans="1:25" x14ac:dyDescent="0.25">
      <c r="A7" s="45"/>
      <c r="B7" s="45"/>
      <c r="C7" s="42">
        <f t="shared" ref="C7:X7" si="1">SUM(C2:C6)</f>
        <v>13.089</v>
      </c>
      <c r="D7" s="42">
        <f t="shared" si="1"/>
        <v>142.49200000000002</v>
      </c>
      <c r="E7" s="42">
        <f t="shared" si="1"/>
        <v>192.655</v>
      </c>
      <c r="F7" s="42">
        <f t="shared" si="1"/>
        <v>227.309</v>
      </c>
      <c r="G7" s="42">
        <f t="shared" si="1"/>
        <v>292.19600000000003</v>
      </c>
      <c r="H7" s="42">
        <f t="shared" si="1"/>
        <v>244.93400000000003</v>
      </c>
      <c r="I7" s="42">
        <f t="shared" si="1"/>
        <v>201.167</v>
      </c>
      <c r="J7" s="42">
        <f t="shared" si="1"/>
        <v>102.81899999999999</v>
      </c>
      <c r="K7" s="42">
        <f t="shared" si="1"/>
        <v>23.35</v>
      </c>
      <c r="L7" s="42">
        <f t="shared" si="1"/>
        <v>10.529</v>
      </c>
      <c r="M7" s="42">
        <f t="shared" si="1"/>
        <v>6.5609999999999999</v>
      </c>
      <c r="N7" s="42">
        <f t="shared" si="1"/>
        <v>7.2159999999999993</v>
      </c>
      <c r="O7" s="42">
        <f t="shared" si="1"/>
        <v>13.089</v>
      </c>
      <c r="P7" s="42">
        <f t="shared" si="1"/>
        <v>142.49200000000002</v>
      </c>
      <c r="Q7" s="42">
        <f t="shared" si="1"/>
        <v>192.155</v>
      </c>
      <c r="R7" s="42">
        <f t="shared" si="1"/>
        <v>227.309</v>
      </c>
      <c r="S7" s="42">
        <f t="shared" si="1"/>
        <v>292.19600000000003</v>
      </c>
      <c r="T7" s="42">
        <f t="shared" si="1"/>
        <v>244.93400000000003</v>
      </c>
      <c r="U7" s="42">
        <f t="shared" si="1"/>
        <v>201.167</v>
      </c>
      <c r="V7" s="42">
        <f t="shared" si="1"/>
        <v>102.81899999999999</v>
      </c>
      <c r="W7" s="42">
        <f t="shared" si="1"/>
        <v>23.35</v>
      </c>
      <c r="X7" s="42">
        <f t="shared" si="1"/>
        <v>10.529</v>
      </c>
      <c r="Y7" s="42">
        <f>SUM(Y2:Y6)</f>
        <v>2914.357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"/>
  <sheetViews>
    <sheetView workbookViewId="0">
      <selection activeCell="D15" sqref="D15"/>
    </sheetView>
  </sheetViews>
  <sheetFormatPr defaultRowHeight="15" x14ac:dyDescent="0.25"/>
  <sheetData>
    <row r="1" spans="1:21" x14ac:dyDescent="0.25">
      <c r="A1" s="45"/>
      <c r="B1" s="45"/>
      <c r="C1" s="46">
        <v>2019</v>
      </c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>
        <v>2020</v>
      </c>
      <c r="P1" s="46"/>
      <c r="Q1" s="46"/>
      <c r="R1" s="46"/>
      <c r="S1" s="46"/>
      <c r="T1" s="46"/>
      <c r="U1" s="45"/>
    </row>
    <row r="2" spans="1:21" ht="38.25" x14ac:dyDescent="0.25">
      <c r="A2" s="42"/>
      <c r="B2" s="43" t="s">
        <v>38</v>
      </c>
      <c r="C2" s="42" t="s">
        <v>43</v>
      </c>
      <c r="D2" s="42" t="s">
        <v>44</v>
      </c>
      <c r="E2" s="42" t="s">
        <v>45</v>
      </c>
      <c r="F2" s="42" t="s">
        <v>46</v>
      </c>
      <c r="G2" s="42" t="s">
        <v>47</v>
      </c>
      <c r="H2" s="42" t="s">
        <v>48</v>
      </c>
      <c r="I2" s="42" t="s">
        <v>49</v>
      </c>
      <c r="J2" s="42" t="s">
        <v>50</v>
      </c>
      <c r="K2" s="42" t="s">
        <v>39</v>
      </c>
      <c r="L2" s="42" t="s">
        <v>40</v>
      </c>
      <c r="M2" s="42" t="s">
        <v>41</v>
      </c>
      <c r="N2" s="42" t="s">
        <v>42</v>
      </c>
      <c r="O2" s="42" t="s">
        <v>43</v>
      </c>
      <c r="P2" s="42" t="s">
        <v>44</v>
      </c>
      <c r="Q2" s="42" t="s">
        <v>45</v>
      </c>
      <c r="R2" s="42" t="s">
        <v>46</v>
      </c>
      <c r="S2" s="42" t="s">
        <v>47</v>
      </c>
      <c r="T2" s="42" t="s">
        <v>48</v>
      </c>
      <c r="U2" s="43" t="s">
        <v>57</v>
      </c>
    </row>
    <row r="3" spans="1:21" ht="38.25" x14ac:dyDescent="0.25">
      <c r="A3" s="44" t="s">
        <v>58</v>
      </c>
      <c r="B3" s="45" t="s">
        <v>31</v>
      </c>
      <c r="C3" s="45">
        <v>20.286000000000001</v>
      </c>
      <c r="D3" s="45">
        <v>17.846</v>
      </c>
      <c r="E3" s="45">
        <v>17.634</v>
      </c>
      <c r="F3" s="45">
        <v>15.294</v>
      </c>
      <c r="G3" s="45">
        <v>13.324</v>
      </c>
      <c r="H3" s="45">
        <v>11.266</v>
      </c>
      <c r="I3" s="45">
        <v>10.404999999999999</v>
      </c>
      <c r="J3" s="45">
        <v>8.6639999999999997</v>
      </c>
      <c r="K3" s="45">
        <v>12.372</v>
      </c>
      <c r="L3" s="45">
        <v>17.791</v>
      </c>
      <c r="M3" s="45">
        <v>20.248999999999999</v>
      </c>
      <c r="N3" s="45">
        <v>20.835999999999999</v>
      </c>
      <c r="O3" s="45">
        <v>20.286000000000001</v>
      </c>
      <c r="P3" s="45">
        <v>17.846</v>
      </c>
      <c r="Q3" s="45">
        <v>17.634</v>
      </c>
      <c r="R3" s="45">
        <v>15.294</v>
      </c>
      <c r="S3" s="45">
        <v>13.324</v>
      </c>
      <c r="T3" s="45">
        <v>11.266</v>
      </c>
      <c r="U3" s="42">
        <f>SUM(C3:T3)</f>
        <v>281.61700000000002</v>
      </c>
    </row>
    <row r="4" spans="1:21" ht="38.25" x14ac:dyDescent="0.25">
      <c r="A4" s="44" t="s">
        <v>59</v>
      </c>
      <c r="B4" s="45" t="s">
        <v>31</v>
      </c>
      <c r="C4" s="45">
        <v>30.298999999999999</v>
      </c>
      <c r="D4" s="45">
        <v>21.943999999999999</v>
      </c>
      <c r="E4" s="45">
        <v>15.957000000000001</v>
      </c>
      <c r="F4" s="45">
        <v>8.2289999999999992</v>
      </c>
      <c r="G4" s="45">
        <v>0</v>
      </c>
      <c r="H4" s="45">
        <v>0</v>
      </c>
      <c r="I4" s="45">
        <v>0</v>
      </c>
      <c r="J4" s="45">
        <v>0</v>
      </c>
      <c r="K4" s="45">
        <v>0</v>
      </c>
      <c r="L4" s="45">
        <v>13.715</v>
      </c>
      <c r="M4" s="45">
        <v>21.943999999999999</v>
      </c>
      <c r="N4" s="45">
        <v>32.915999999999997</v>
      </c>
      <c r="O4" s="45">
        <v>30.298999999999999</v>
      </c>
      <c r="P4" s="45">
        <v>21.943999999999999</v>
      </c>
      <c r="Q4" s="45">
        <v>15.957000000000001</v>
      </c>
      <c r="R4" s="45">
        <v>8.2289999999999992</v>
      </c>
      <c r="S4" s="45">
        <v>0</v>
      </c>
      <c r="T4" s="45">
        <v>0</v>
      </c>
      <c r="U4" s="42">
        <f>SUM(C4:T4)</f>
        <v>221.43299999999999</v>
      </c>
    </row>
  </sheetData>
  <mergeCells count="2">
    <mergeCell ref="C1:N1"/>
    <mergeCell ref="O1:T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"/>
  <sheetViews>
    <sheetView workbookViewId="0">
      <selection activeCell="C14" sqref="C14"/>
    </sheetView>
  </sheetViews>
  <sheetFormatPr defaultRowHeight="15" x14ac:dyDescent="0.25"/>
  <sheetData>
    <row r="1" spans="1:25" ht="38.25" x14ac:dyDescent="0.25">
      <c r="A1" s="42"/>
      <c r="B1" s="43" t="s">
        <v>38</v>
      </c>
      <c r="C1" s="42" t="s">
        <v>39</v>
      </c>
      <c r="D1" s="42" t="s">
        <v>40</v>
      </c>
      <c r="E1" s="42" t="s">
        <v>41</v>
      </c>
      <c r="F1" s="42" t="s">
        <v>42</v>
      </c>
      <c r="G1" s="42" t="s">
        <v>43</v>
      </c>
      <c r="H1" s="42" t="s">
        <v>44</v>
      </c>
      <c r="I1" s="42" t="s">
        <v>45</v>
      </c>
      <c r="J1" s="42" t="s">
        <v>46</v>
      </c>
      <c r="K1" s="42" t="s">
        <v>47</v>
      </c>
      <c r="L1" s="42" t="s">
        <v>48</v>
      </c>
      <c r="M1" s="42" t="s">
        <v>49</v>
      </c>
      <c r="N1" s="42" t="s">
        <v>50</v>
      </c>
      <c r="O1" s="42" t="s">
        <v>39</v>
      </c>
      <c r="P1" s="42" t="s">
        <v>40</v>
      </c>
      <c r="Q1" s="42" t="s">
        <v>41</v>
      </c>
      <c r="R1" s="42" t="s">
        <v>42</v>
      </c>
      <c r="S1" s="42" t="s">
        <v>43</v>
      </c>
      <c r="T1" s="42" t="s">
        <v>44</v>
      </c>
      <c r="U1" s="42" t="s">
        <v>45</v>
      </c>
      <c r="V1" s="42" t="s">
        <v>46</v>
      </c>
      <c r="W1" s="42" t="s">
        <v>47</v>
      </c>
      <c r="X1" s="42" t="s">
        <v>48</v>
      </c>
      <c r="Y1" s="43" t="s">
        <v>51</v>
      </c>
    </row>
    <row r="2" spans="1:25" ht="51" x14ac:dyDescent="0.25">
      <c r="A2" s="44" t="s">
        <v>60</v>
      </c>
      <c r="B2" s="45" t="s">
        <v>28</v>
      </c>
      <c r="C2" s="45">
        <v>1.468</v>
      </c>
      <c r="D2" s="45">
        <v>3.0990000000000002</v>
      </c>
      <c r="E2" s="45">
        <v>6.6420000000000003</v>
      </c>
      <c r="F2" s="45">
        <v>7.141</v>
      </c>
      <c r="G2" s="45">
        <v>9.7910000000000004</v>
      </c>
      <c r="H2" s="45">
        <v>3.4740000000000002</v>
      </c>
      <c r="I2" s="45">
        <v>7.7549999999999999</v>
      </c>
      <c r="J2" s="45">
        <v>5.2539999999999996</v>
      </c>
      <c r="K2" s="45">
        <v>1.1890000000000001</v>
      </c>
      <c r="L2" s="45">
        <v>0.22600000000000001</v>
      </c>
      <c r="M2" s="45">
        <v>0</v>
      </c>
      <c r="N2" s="45">
        <v>0.79</v>
      </c>
      <c r="O2" s="45">
        <v>1.468</v>
      </c>
      <c r="P2" s="45">
        <v>3.0990000000000002</v>
      </c>
      <c r="Q2" s="45">
        <v>6.6420000000000003</v>
      </c>
      <c r="R2" s="45">
        <v>7.141</v>
      </c>
      <c r="S2" s="45">
        <v>9.7910000000000004</v>
      </c>
      <c r="T2" s="45">
        <v>3.4740000000000002</v>
      </c>
      <c r="U2" s="45">
        <v>7.7549999999999999</v>
      </c>
      <c r="V2" s="45">
        <v>5.2539999999999996</v>
      </c>
      <c r="W2" s="45">
        <v>1.1890000000000001</v>
      </c>
      <c r="X2" s="45">
        <v>0.22600000000000001</v>
      </c>
      <c r="Y2" s="42">
        <f>SUM(C2:X2)</f>
        <v>92.867999999999995</v>
      </c>
    </row>
    <row r="3" spans="1:25" ht="51" x14ac:dyDescent="0.25">
      <c r="A3" s="44" t="s">
        <v>61</v>
      </c>
      <c r="B3" s="45" t="s">
        <v>28</v>
      </c>
      <c r="C3" s="45">
        <v>0</v>
      </c>
      <c r="D3" s="45">
        <v>0</v>
      </c>
      <c r="E3" s="45">
        <v>4.5170000000000003</v>
      </c>
      <c r="F3" s="45">
        <v>9.1950000000000003</v>
      </c>
      <c r="G3" s="45">
        <v>9.1989999999999998</v>
      </c>
      <c r="H3" s="45">
        <v>8.6069999999999993</v>
      </c>
      <c r="I3" s="45">
        <v>3.327</v>
      </c>
      <c r="J3" s="45">
        <v>3.2149999999999999</v>
      </c>
      <c r="K3" s="45">
        <v>1.0999999999999999E-2</v>
      </c>
      <c r="L3" s="45">
        <v>0</v>
      </c>
      <c r="M3" s="45">
        <v>0</v>
      </c>
      <c r="N3" s="45">
        <v>0</v>
      </c>
      <c r="O3" s="45">
        <v>0</v>
      </c>
      <c r="P3" s="45">
        <v>0</v>
      </c>
      <c r="Q3" s="45">
        <v>4.5170000000000003</v>
      </c>
      <c r="R3" s="45">
        <v>9.1950000000000003</v>
      </c>
      <c r="S3" s="45">
        <v>9.1989999999999998</v>
      </c>
      <c r="T3" s="45">
        <v>8.6069999999999993</v>
      </c>
      <c r="U3" s="45">
        <v>3.327</v>
      </c>
      <c r="V3" s="45">
        <v>3.2149999999999999</v>
      </c>
      <c r="W3" s="45">
        <v>1.0999999999999999E-2</v>
      </c>
      <c r="X3" s="45">
        <v>0</v>
      </c>
      <c r="Y3" s="42">
        <f>SUM(C3:X3)</f>
        <v>76.141999999999996</v>
      </c>
    </row>
    <row r="4" spans="1:25" ht="38.25" x14ac:dyDescent="0.25">
      <c r="A4" s="44" t="s">
        <v>62</v>
      </c>
      <c r="B4" s="45" t="s">
        <v>28</v>
      </c>
      <c r="C4" s="45">
        <v>2.9089999999999998</v>
      </c>
      <c r="D4" s="45">
        <v>4.25</v>
      </c>
      <c r="E4" s="45">
        <v>6.3280000000000003</v>
      </c>
      <c r="F4" s="45">
        <v>7.9340000000000002</v>
      </c>
      <c r="G4" s="45">
        <v>7.9589999999999996</v>
      </c>
      <c r="H4" s="45">
        <v>7.9189999999999996</v>
      </c>
      <c r="I4" s="45">
        <v>6.3310000000000004</v>
      </c>
      <c r="J4" s="45">
        <v>4.3360000000000003</v>
      </c>
      <c r="K4" s="45">
        <v>2.0819999999999999</v>
      </c>
      <c r="L4" s="45">
        <v>1.026</v>
      </c>
      <c r="M4" s="45">
        <v>0.54700000000000004</v>
      </c>
      <c r="N4" s="45">
        <v>1.423</v>
      </c>
      <c r="O4" s="45">
        <v>2.9089999999999998</v>
      </c>
      <c r="P4" s="45">
        <v>4.25</v>
      </c>
      <c r="Q4" s="45">
        <v>6.3280000000000003</v>
      </c>
      <c r="R4" s="45">
        <v>7.9340000000000002</v>
      </c>
      <c r="S4" s="45">
        <v>7.9589999999999996</v>
      </c>
      <c r="T4" s="45">
        <v>7.9189999999999996</v>
      </c>
      <c r="U4" s="45">
        <v>6.3310000000000004</v>
      </c>
      <c r="V4" s="45">
        <v>4.3360000000000003</v>
      </c>
      <c r="W4" s="45">
        <v>2.0819999999999999</v>
      </c>
      <c r="X4" s="45">
        <v>1.026</v>
      </c>
      <c r="Y4" s="42">
        <f>SUM(C4:X4)</f>
        <v>104.11799999999999</v>
      </c>
    </row>
    <row r="5" spans="1:25" ht="38.25" x14ac:dyDescent="0.25">
      <c r="A5" s="44" t="s">
        <v>63</v>
      </c>
      <c r="B5" s="45" t="s">
        <v>28</v>
      </c>
      <c r="C5" s="45">
        <v>0.53100000000000003</v>
      </c>
      <c r="D5" s="45">
        <v>2.5840000000000001</v>
      </c>
      <c r="E5" s="45">
        <v>1.5149999999999999</v>
      </c>
      <c r="F5" s="45">
        <v>1.2889999999999999</v>
      </c>
      <c r="G5" s="45">
        <v>1.4770000000000001</v>
      </c>
      <c r="H5" s="45">
        <v>1.145</v>
      </c>
      <c r="I5" s="45">
        <v>0.496</v>
      </c>
      <c r="J5" s="45">
        <v>0.40799999999999997</v>
      </c>
      <c r="K5" s="45">
        <v>0.40699999999999997</v>
      </c>
      <c r="L5" s="45">
        <v>0.56399999999999995</v>
      </c>
      <c r="M5" s="45">
        <v>0.47199999999999998</v>
      </c>
      <c r="N5" s="45">
        <v>0.56499999999999995</v>
      </c>
      <c r="O5" s="45">
        <v>0.53100000000000003</v>
      </c>
      <c r="P5" s="45">
        <v>2.5840000000000001</v>
      </c>
      <c r="Q5" s="45">
        <v>1.5149999999999999</v>
      </c>
      <c r="R5" s="45">
        <v>1.2889999999999999</v>
      </c>
      <c r="S5" s="45">
        <v>1.4770000000000001</v>
      </c>
      <c r="T5" s="45">
        <v>1.145</v>
      </c>
      <c r="U5" s="45">
        <v>0.496</v>
      </c>
      <c r="V5" s="45">
        <v>0.40799999999999997</v>
      </c>
      <c r="W5" s="45">
        <v>0.40699999999999997</v>
      </c>
      <c r="X5" s="45">
        <v>0.56399999999999995</v>
      </c>
      <c r="Y5" s="42">
        <f>SUM(C5:X5)</f>
        <v>21.869</v>
      </c>
    </row>
    <row r="6" spans="1:25" ht="38.25" x14ac:dyDescent="0.25">
      <c r="A6" s="44" t="s">
        <v>64</v>
      </c>
      <c r="B6" s="45" t="s">
        <v>28</v>
      </c>
      <c r="C6" s="45">
        <v>0.20599999999999999</v>
      </c>
      <c r="D6" s="45">
        <v>0.94699999999999995</v>
      </c>
      <c r="E6" s="45">
        <v>0.94699999999999995</v>
      </c>
      <c r="F6" s="45">
        <v>1.0369999999999999</v>
      </c>
      <c r="G6" s="45">
        <v>1.0369999999999999</v>
      </c>
      <c r="H6" s="45">
        <v>0.68</v>
      </c>
      <c r="I6" s="45">
        <v>0.68</v>
      </c>
      <c r="J6" s="45">
        <v>0.28399999999999997</v>
      </c>
      <c r="K6" s="45">
        <v>0</v>
      </c>
      <c r="L6" s="45">
        <v>0</v>
      </c>
      <c r="M6" s="45">
        <v>0</v>
      </c>
      <c r="N6" s="45">
        <v>0.20599999999999999</v>
      </c>
      <c r="O6" s="45">
        <v>0.20599999999999999</v>
      </c>
      <c r="P6" s="45">
        <v>0.94699999999999995</v>
      </c>
      <c r="Q6" s="45">
        <v>0.94699999999999995</v>
      </c>
      <c r="R6" s="45">
        <v>1.0369999999999999</v>
      </c>
      <c r="S6" s="45">
        <v>1.0369999999999999</v>
      </c>
      <c r="T6" s="45">
        <v>0.68</v>
      </c>
      <c r="U6" s="45">
        <v>0.68</v>
      </c>
      <c r="V6" s="45">
        <v>0.28399999999999997</v>
      </c>
      <c r="W6" s="45">
        <v>0</v>
      </c>
      <c r="X6" s="45">
        <v>0</v>
      </c>
      <c r="Y6" s="42">
        <f>SUM(C6:X6)</f>
        <v>11.841999999999997</v>
      </c>
    </row>
    <row r="7" spans="1:25" ht="51" x14ac:dyDescent="0.25">
      <c r="A7" s="44" t="s">
        <v>65</v>
      </c>
      <c r="B7" s="45" t="s">
        <v>66</v>
      </c>
      <c r="C7" s="45">
        <v>0.9</v>
      </c>
      <c r="D7" s="45">
        <v>3.3</v>
      </c>
      <c r="E7" s="45">
        <v>3.3</v>
      </c>
      <c r="F7" s="45">
        <v>3.77</v>
      </c>
      <c r="G7" s="45">
        <v>3.77</v>
      </c>
      <c r="H7" s="45">
        <v>5</v>
      </c>
      <c r="I7" s="45">
        <v>5</v>
      </c>
      <c r="J7" s="45">
        <v>3.5</v>
      </c>
      <c r="K7" s="45">
        <v>0</v>
      </c>
      <c r="L7" s="45">
        <v>0</v>
      </c>
      <c r="M7" s="45">
        <v>0</v>
      </c>
      <c r="N7" s="45">
        <v>0</v>
      </c>
      <c r="O7" s="45">
        <v>0.9</v>
      </c>
      <c r="P7" s="45">
        <v>3.3</v>
      </c>
      <c r="Q7" s="45">
        <v>3.3</v>
      </c>
      <c r="R7" s="45">
        <v>3.77</v>
      </c>
      <c r="S7" s="45">
        <v>3.77</v>
      </c>
      <c r="T7" s="45">
        <v>5</v>
      </c>
      <c r="U7" s="45">
        <v>5</v>
      </c>
      <c r="V7" s="45">
        <v>3.5</v>
      </c>
      <c r="W7" s="45">
        <v>0</v>
      </c>
      <c r="X7" s="45">
        <v>0</v>
      </c>
      <c r="Y7" s="42">
        <f>SUM(C7:X7)</f>
        <v>57.08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"/>
  <sheetViews>
    <sheetView tabSelected="1" workbookViewId="0">
      <selection activeCell="I20" sqref="I20"/>
    </sheetView>
  </sheetViews>
  <sheetFormatPr defaultRowHeight="15" x14ac:dyDescent="0.25"/>
  <sheetData>
    <row r="1" spans="1:25" ht="38.25" x14ac:dyDescent="0.25">
      <c r="A1" s="42"/>
      <c r="B1" s="43" t="s">
        <v>38</v>
      </c>
      <c r="C1" s="42" t="s">
        <v>39</v>
      </c>
      <c r="D1" s="42" t="s">
        <v>40</v>
      </c>
      <c r="E1" s="42" t="s">
        <v>41</v>
      </c>
      <c r="F1" s="42" t="s">
        <v>42</v>
      </c>
      <c r="G1" s="42" t="s">
        <v>43</v>
      </c>
      <c r="H1" s="42" t="s">
        <v>44</v>
      </c>
      <c r="I1" s="42" t="s">
        <v>45</v>
      </c>
      <c r="J1" s="42" t="s">
        <v>46</v>
      </c>
      <c r="K1" s="42" t="s">
        <v>47</v>
      </c>
      <c r="L1" s="42" t="s">
        <v>48</v>
      </c>
      <c r="M1" s="42" t="s">
        <v>49</v>
      </c>
      <c r="N1" s="42" t="s">
        <v>50</v>
      </c>
      <c r="O1" s="42" t="s">
        <v>39</v>
      </c>
      <c r="P1" s="42" t="s">
        <v>40</v>
      </c>
      <c r="Q1" s="42" t="s">
        <v>41</v>
      </c>
      <c r="R1" s="42" t="s">
        <v>42</v>
      </c>
      <c r="S1" s="42" t="s">
        <v>43</v>
      </c>
      <c r="T1" s="42" t="s">
        <v>44</v>
      </c>
      <c r="U1" s="42" t="s">
        <v>45</v>
      </c>
      <c r="V1" s="42" t="s">
        <v>46</v>
      </c>
      <c r="W1" s="42" t="s">
        <v>47</v>
      </c>
      <c r="X1" s="42" t="s">
        <v>48</v>
      </c>
      <c r="Y1" s="43" t="s">
        <v>51</v>
      </c>
    </row>
    <row r="2" spans="1:25" ht="63.75" x14ac:dyDescent="0.25">
      <c r="A2" s="44" t="s">
        <v>67</v>
      </c>
      <c r="B2" s="45" t="s">
        <v>68</v>
      </c>
      <c r="C2" s="45">
        <v>0.73699999999999999</v>
      </c>
      <c r="D2" s="45">
        <v>1.169</v>
      </c>
      <c r="E2" s="45">
        <v>2.4580000000000002</v>
      </c>
      <c r="F2" s="45">
        <v>2.9649999999999999</v>
      </c>
      <c r="G2" s="45">
        <v>3.4020000000000001</v>
      </c>
      <c r="H2" s="45">
        <v>3.35</v>
      </c>
      <c r="I2" s="45">
        <v>2.8929999999999998</v>
      </c>
      <c r="J2" s="45">
        <v>1.3149999999999999</v>
      </c>
      <c r="K2" s="45">
        <v>0.64700000000000002</v>
      </c>
      <c r="L2" s="45">
        <v>0</v>
      </c>
      <c r="M2" s="45">
        <v>0</v>
      </c>
      <c r="N2" s="45">
        <v>0.35</v>
      </c>
      <c r="O2" s="45">
        <v>0.73699999999999999</v>
      </c>
      <c r="P2" s="45">
        <v>1.169</v>
      </c>
      <c r="Q2" s="45">
        <v>2.4580000000000002</v>
      </c>
      <c r="R2" s="45">
        <v>2.9649999999999999</v>
      </c>
      <c r="S2" s="45">
        <v>3.4020000000000001</v>
      </c>
      <c r="T2" s="45">
        <v>3.35</v>
      </c>
      <c r="U2" s="45">
        <v>2.8929999999999998</v>
      </c>
      <c r="V2" s="45">
        <v>1.3149999999999999</v>
      </c>
      <c r="W2" s="45">
        <v>0.64700000000000002</v>
      </c>
      <c r="X2" s="45">
        <v>0</v>
      </c>
      <c r="Y2" s="42">
        <f>SUM(C2:X2)</f>
        <v>38.221999999999994</v>
      </c>
    </row>
    <row r="3" spans="1:25" ht="60" x14ac:dyDescent="0.25">
      <c r="A3" s="47" t="s">
        <v>69</v>
      </c>
      <c r="B3" s="38" t="s">
        <v>70</v>
      </c>
      <c r="C3" s="38">
        <v>0.27</v>
      </c>
      <c r="D3" s="38">
        <v>0.51900000000000002</v>
      </c>
      <c r="E3" s="38">
        <v>0.51900000000000002</v>
      </c>
      <c r="F3" s="38">
        <v>0.51900000000000002</v>
      </c>
      <c r="G3" s="38">
        <v>0.82</v>
      </c>
      <c r="H3" s="38">
        <v>0.51900000000000002</v>
      </c>
      <c r="I3" s="38">
        <v>0.8</v>
      </c>
      <c r="J3" s="38">
        <v>0.27</v>
      </c>
      <c r="K3" s="38">
        <v>0.27</v>
      </c>
      <c r="L3" s="38">
        <v>0.27</v>
      </c>
      <c r="M3" s="38">
        <v>0</v>
      </c>
      <c r="N3" s="38">
        <v>0</v>
      </c>
      <c r="O3" s="38">
        <v>0.27</v>
      </c>
      <c r="P3" s="38">
        <v>0.51900000000000002</v>
      </c>
      <c r="Q3" s="38">
        <v>0.51900000000000002</v>
      </c>
      <c r="R3" s="38">
        <v>0.51900000000000002</v>
      </c>
      <c r="S3" s="38">
        <v>0.82</v>
      </c>
      <c r="T3" s="38">
        <v>0.51900000000000002</v>
      </c>
      <c r="U3" s="38">
        <v>0.8</v>
      </c>
      <c r="V3" s="38">
        <v>0.27</v>
      </c>
      <c r="W3" s="38">
        <v>0.27</v>
      </c>
      <c r="X3" s="38">
        <v>0.27</v>
      </c>
      <c r="Y3" s="38">
        <f>SUM(C3:X3)</f>
        <v>9.5519999999999996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Arkusz1</vt:lpstr>
      <vt:lpstr>Arkusz2</vt:lpstr>
      <vt:lpstr>Arkusz3</vt:lpstr>
      <vt:lpstr>Arkusz4</vt:lpstr>
      <vt:lpstr>Arkusz5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2018-06-20T16:14:51Z</dcterms:modified>
</cp:coreProperties>
</file>