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westycje 2021\Andrzej\GAZ\Publikacja gaz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O10" i="1" l="1"/>
  <c r="O12" i="1"/>
  <c r="O9" i="1"/>
  <c r="O11" i="1"/>
  <c r="O6" i="1"/>
  <c r="O7" i="1"/>
  <c r="O8" i="1"/>
  <c r="O13" i="1"/>
  <c r="O14" i="1"/>
  <c r="O15" i="1"/>
  <c r="O16" i="1"/>
  <c r="O17" i="1"/>
  <c r="O18" i="1"/>
  <c r="O19" i="1"/>
  <c r="O20" i="1"/>
  <c r="O21" i="1"/>
  <c r="O22" i="1"/>
  <c r="M18" i="1" l="1"/>
  <c r="M15" i="1"/>
  <c r="O5" i="1" l="1"/>
  <c r="Q7" i="1" l="1"/>
  <c r="Q6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R6" i="1" l="1"/>
  <c r="R7" i="1"/>
  <c r="R22" i="1"/>
  <c r="S23" i="1"/>
  <c r="T23" i="1"/>
</calcChain>
</file>

<file path=xl/sharedStrings.xml><?xml version="1.0" encoding="utf-8"?>
<sst xmlns="http://schemas.openxmlformats.org/spreadsheetml/2006/main" count="66" uniqueCount="36">
  <si>
    <t>Grupa taryfowa</t>
  </si>
  <si>
    <t>Liczba punktów poboru</t>
  </si>
  <si>
    <t>Liczba miesięcy</t>
  </si>
  <si>
    <t>Liczba dni</t>
  </si>
  <si>
    <t>Oddział dystrybucji</t>
  </si>
  <si>
    <t>Cena za gaz (zł netto)</t>
  </si>
  <si>
    <t>Cena za usługi dystrybucyjne (zł netto)</t>
  </si>
  <si>
    <t>CENA OFERTY 
(zł netto)</t>
  </si>
  <si>
    <t>CENA OFERTY 
(zł brutto)</t>
  </si>
  <si>
    <t>Łącznie usługi dystrybucyjne (zł)
(kol. 15 + kol. 17)</t>
  </si>
  <si>
    <t>(suma kol. 13 
+ kol. 18)</t>
  </si>
  <si>
    <t>W-1.1</t>
  </si>
  <si>
    <t>W-3.6</t>
  </si>
  <si>
    <t>W-4</t>
  </si>
  <si>
    <t>SUMA:</t>
  </si>
  <si>
    <t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Ustawy o podatku akcyzowym] oraz przyjmując wartość ciepła spalania 39,5 MJ/m3.</t>
  </si>
  <si>
    <t>PSG Sp. z o.o. - Warszawa</t>
  </si>
  <si>
    <t>W-5</t>
  </si>
  <si>
    <r>
      <t xml:space="preserve">Moc umowna
</t>
    </r>
    <r>
      <rPr>
        <sz val="10"/>
        <rFont val="Times New Roman"/>
        <family val="1"/>
        <charset val="238"/>
      </rPr>
      <t>(kWh/h)</t>
    </r>
  </si>
  <si>
    <r>
      <rPr>
        <b/>
        <sz val="10"/>
        <rFont val="Times New Roman"/>
        <family val="1"/>
        <charset val="238"/>
      </rPr>
      <t>Szacunkowe zapotrzebowanie na paliwo gazowe opodatkowane akcyzą 1,28 zł/GJ</t>
    </r>
    <r>
      <rPr>
        <sz val="10"/>
        <rFont val="Times New Roman"/>
        <family val="1"/>
        <charset val="238"/>
      </rPr>
      <t xml:space="preserve">
(kWh)</t>
    </r>
  </si>
  <si>
    <r>
      <rPr>
        <b/>
        <sz val="10"/>
        <rFont val="Times New Roman"/>
        <family val="1"/>
        <charset val="238"/>
      </rPr>
      <t>Szacunkowe zapotrzebowanie na paliwo gazowe łącznie</t>
    </r>
    <r>
      <rPr>
        <sz val="10"/>
        <rFont val="Times New Roman"/>
        <family val="1"/>
        <charset val="238"/>
      </rPr>
      <t xml:space="preserve"> 
(kWh)</t>
    </r>
  </si>
  <si>
    <r>
      <rPr>
        <b/>
        <sz val="10"/>
        <rFont val="Times New Roman"/>
        <family val="1"/>
        <charset val="238"/>
      </rPr>
      <t xml:space="preserve">Cena jednostkowa za gaz z akcyzą 1,28 zł/GJ*
</t>
    </r>
    <r>
      <rPr>
        <sz val="10"/>
        <rFont val="Times New Roman"/>
        <family val="1"/>
        <charset val="238"/>
      </rPr>
      <t xml:space="preserve">(gr/kWh)
</t>
    </r>
    <r>
      <rPr>
        <i/>
        <sz val="10"/>
        <rFont val="Times New Roman"/>
        <family val="1"/>
        <charset val="238"/>
      </rPr>
      <t>(kol. 10 + 0,362)</t>
    </r>
  </si>
  <si>
    <r>
      <rPr>
        <b/>
        <sz val="10"/>
        <rFont val="Times New Roman"/>
        <family val="1"/>
        <charset val="238"/>
      </rPr>
      <t xml:space="preserve">Stawka opłaty stałej </t>
    </r>
    <r>
      <rPr>
        <sz val="10"/>
        <rFont val="Times New Roman"/>
        <family val="1"/>
        <charset val="238"/>
      </rPr>
      <t xml:space="preserve">
a) (zł/m-c) 
dla grup taryfowych z ozn. 
W-1, W-2, W-3, W-4
b) (gr/(kWh/h) za h) 
dla grup taryfowych z ozn. 
W-5, W-6, W-7</t>
    </r>
  </si>
  <si>
    <r>
      <t xml:space="preserve">Stawka opłaty zmiennej 
</t>
    </r>
    <r>
      <rPr>
        <sz val="10"/>
        <rFont val="Times New Roman"/>
        <family val="1"/>
        <charset val="238"/>
      </rPr>
      <t>(gr/kWh)</t>
    </r>
  </si>
  <si>
    <t>0.000</t>
  </si>
  <si>
    <t xml:space="preserve">Kompleksowa dostawa gazu dla Miasta Mława od dnia 01.07.2021 r. do dnia  30.06.2023 r. ( 24 miesiące) </t>
  </si>
  <si>
    <t>(kol. 19) + podatek VAT
(zaokrąglenie do 2 miejsc po przecinku)</t>
  </si>
  <si>
    <r>
      <rPr>
        <b/>
        <sz val="10"/>
        <rFont val="Times New Roman"/>
        <family val="1"/>
        <charset val="238"/>
      </rPr>
      <t>Abonament</t>
    </r>
    <r>
      <rPr>
        <sz val="10"/>
        <rFont val="Times New Roman"/>
        <family val="1"/>
        <charset val="238"/>
      </rPr>
      <t xml:space="preserve"> 
(zł/m-c)
</t>
    </r>
    <r>
      <rPr>
        <i/>
        <sz val="10"/>
        <rFont val="Times New Roman"/>
        <family val="1"/>
        <charset val="238"/>
      </rPr>
      <t>(zaokrąglenie do 2 miejsc po przecinku)</t>
    </r>
  </si>
  <si>
    <t>Załącznik nr 7 do SWZ - Formularz cenowy</t>
  </si>
  <si>
    <r>
      <rPr>
        <b/>
        <sz val="10"/>
        <rFont val="Times New Roman"/>
        <family val="1"/>
        <charset val="238"/>
      </rPr>
      <t>Szacunkowe zapotrzebowanie na paliwo gazowe zwolnione 
z akcyzy</t>
    </r>
    <r>
      <rPr>
        <sz val="10"/>
        <rFont val="Times New Roman"/>
        <family val="1"/>
        <charset val="238"/>
      </rPr>
      <t xml:space="preserve"> 
(mWh)</t>
    </r>
  </si>
  <si>
    <t>W-2.1</t>
  </si>
  <si>
    <t>Uwaga: prawidłowe nazwy grupy taryfowej  w pozycjach 10,11,12 (zaznaczone żółtym kolorem ) to BW-2.1, BW-4, BW-4. Grupy w powyższych pozycjach zostały opisane bez litery B ze względu na zapisaną formułę.</t>
  </si>
  <si>
    <r>
      <rPr>
        <b/>
        <sz val="10"/>
        <rFont val="Times New Roman"/>
        <family val="1"/>
        <charset val="238"/>
      </rPr>
      <t xml:space="preserve">Cena jednostkowa za gaz bez akcyzy
</t>
    </r>
    <r>
      <rPr>
        <sz val="10"/>
        <rFont val="Times New Roman"/>
        <family val="1"/>
        <charset val="238"/>
      </rPr>
      <t xml:space="preserve">(gr/kWh)
</t>
    </r>
    <r>
      <rPr>
        <i/>
        <sz val="10"/>
        <rFont val="Times New Roman"/>
        <family val="1"/>
        <charset val="238"/>
      </rPr>
      <t>(zaokrąglenie 
do 5miejsc 
po przecinku)</t>
    </r>
  </si>
  <si>
    <t>Łącznie (zł)
(kol. 4 × kol. 10) /100 + (kol. 5 × kol. 11) /100 + (kol. 2 × kol. 7 × kol. 12)
(zaokrąglenie do 5 miejsc po przecinku)</t>
  </si>
  <si>
    <t>Łącznie opłata stała (zł)
a) (kol. 2 × kol. 7 × kol. 14) 
dla grup taryfowych z ozn.
W-1, W-2, W-3, W-4
b) (kol. 3 × kol. 8 × 24 h × kol. 14) /100 
dla grup taryfowych z ozn.
W-5, W-6, W-7
(zaokrąglenie do 3
miejsc po przecinku)</t>
  </si>
  <si>
    <t>Łącznie opłata zmienna (zł)
(kol. 6 × kol. 16) /100
(zaokrąglenie do 3 miejsc po przecinku)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</si>
</sst>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0"/>
    <numFmt numFmtId="167" formatCode="0.00000"/>
    <numFmt numFmtId="168" formatCode="#,##0.00000"/>
  </numFmts>
  <fonts count="6">
    <font>
      <sz val="11"/>
      <color theme="1"/>
      <name val="Czcionka tekstu podstawowego"/>
      <family val="2"/>
      <charset val="238"/>
    </font>
    <font>
      <b/>
      <sz val="13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3" fontId="0" fillId="0" borderId="0" xfId="0" applyNumberFormat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NumberFormat="1" applyFont="1"/>
    <xf numFmtId="2" fontId="3" fillId="0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center" vertical="center"/>
    </xf>
    <xf numFmtId="167" fontId="3" fillId="5" borderId="2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8" fontId="2" fillId="0" borderId="2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/>
    </xf>
    <xf numFmtId="166" fontId="3" fillId="5" borderId="2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topLeftCell="A7" workbookViewId="0">
      <selection activeCell="Q19" sqref="Q19"/>
    </sheetView>
  </sheetViews>
  <sheetFormatPr defaultRowHeight="14.25"/>
  <cols>
    <col min="1" max="1" width="8.75" customWidth="1"/>
    <col min="2" max="2" width="7.5" customWidth="1"/>
    <col min="3" max="3" width="7.375" customWidth="1"/>
    <col min="4" max="4" width="14.25" customWidth="1"/>
    <col min="5" max="5" width="12.625" customWidth="1"/>
    <col min="6" max="6" width="11.375" customWidth="1"/>
    <col min="7" max="7" width="7.75" customWidth="1"/>
    <col min="8" max="8" width="7.25" customWidth="1"/>
    <col min="9" max="9" width="19.875" customWidth="1"/>
    <col min="10" max="10" width="10.875" customWidth="1"/>
    <col min="11" max="11" width="11.75" customWidth="1"/>
    <col min="12" max="12" width="11.375" customWidth="1"/>
    <col min="13" max="13" width="17.875" customWidth="1"/>
    <col min="14" max="14" width="15.375" customWidth="1"/>
    <col min="15" max="15" width="19.125" customWidth="1"/>
    <col min="17" max="17" width="12.875" customWidth="1"/>
    <col min="18" max="18" width="13.625" customWidth="1"/>
    <col min="19" max="19" width="11.5" customWidth="1"/>
    <col min="20" max="20" width="11.25" customWidth="1"/>
  </cols>
  <sheetData>
    <row r="1" spans="1:24" ht="17.25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4" ht="38.25">
      <c r="A2" s="40" t="s">
        <v>0</v>
      </c>
      <c r="B2" s="40" t="s">
        <v>1</v>
      </c>
      <c r="C2" s="40" t="s">
        <v>18</v>
      </c>
      <c r="D2" s="41" t="s">
        <v>29</v>
      </c>
      <c r="E2" s="41" t="s">
        <v>19</v>
      </c>
      <c r="F2" s="41" t="s">
        <v>20</v>
      </c>
      <c r="G2" s="40" t="s">
        <v>2</v>
      </c>
      <c r="H2" s="40" t="s">
        <v>3</v>
      </c>
      <c r="I2" s="40" t="s">
        <v>4</v>
      </c>
      <c r="J2" s="37" t="s">
        <v>5</v>
      </c>
      <c r="K2" s="37"/>
      <c r="L2" s="37"/>
      <c r="M2" s="37"/>
      <c r="N2" s="37" t="s">
        <v>6</v>
      </c>
      <c r="O2" s="37"/>
      <c r="P2" s="37"/>
      <c r="Q2" s="37"/>
      <c r="R2" s="37"/>
      <c r="S2" s="3" t="s">
        <v>7</v>
      </c>
      <c r="T2" s="3" t="s">
        <v>8</v>
      </c>
      <c r="U2" s="4"/>
      <c r="V2" s="4"/>
      <c r="W2" s="4"/>
      <c r="X2" s="4"/>
    </row>
    <row r="3" spans="1:24" ht="156" customHeight="1">
      <c r="A3" s="40"/>
      <c r="B3" s="40"/>
      <c r="C3" s="40"/>
      <c r="D3" s="41"/>
      <c r="E3" s="41"/>
      <c r="F3" s="41"/>
      <c r="G3" s="40"/>
      <c r="H3" s="40"/>
      <c r="I3" s="40"/>
      <c r="J3" s="5" t="s">
        <v>32</v>
      </c>
      <c r="K3" s="5" t="s">
        <v>21</v>
      </c>
      <c r="L3" s="5" t="s">
        <v>27</v>
      </c>
      <c r="M3" s="5" t="s">
        <v>33</v>
      </c>
      <c r="N3" s="5" t="s">
        <v>22</v>
      </c>
      <c r="O3" s="5" t="s">
        <v>34</v>
      </c>
      <c r="P3" s="6" t="s">
        <v>23</v>
      </c>
      <c r="Q3" s="5" t="s">
        <v>35</v>
      </c>
      <c r="R3" s="5" t="s">
        <v>9</v>
      </c>
      <c r="S3" s="5" t="s">
        <v>10</v>
      </c>
      <c r="T3" s="5" t="s">
        <v>26</v>
      </c>
      <c r="U3" s="4"/>
      <c r="V3" s="4"/>
      <c r="W3" s="4"/>
      <c r="X3" s="4"/>
    </row>
    <row r="4" spans="1:24">
      <c r="A4" s="7" t="str">
        <f>"-1-"</f>
        <v>-1-</v>
      </c>
      <c r="B4" s="7" t="str">
        <f>"-2-"</f>
        <v>-2-</v>
      </c>
      <c r="C4" s="7" t="str">
        <f>"-3-"</f>
        <v>-3-</v>
      </c>
      <c r="D4" s="7" t="str">
        <f>"-4-"</f>
        <v>-4-</v>
      </c>
      <c r="E4" s="7" t="str">
        <f>"-5-"</f>
        <v>-5-</v>
      </c>
      <c r="F4" s="7" t="str">
        <f>"-6-"</f>
        <v>-6-</v>
      </c>
      <c r="G4" s="7" t="str">
        <f>"-7-"</f>
        <v>-7-</v>
      </c>
      <c r="H4" s="7" t="str">
        <f>"-8-"</f>
        <v>-8-</v>
      </c>
      <c r="I4" s="7" t="str">
        <f>"-9-"</f>
        <v>-9-</v>
      </c>
      <c r="J4" s="7" t="str">
        <f>"-10-"</f>
        <v>-10-</v>
      </c>
      <c r="K4" s="7" t="str">
        <f>"-11-"</f>
        <v>-11-</v>
      </c>
      <c r="L4" s="7" t="str">
        <f>"-12-"</f>
        <v>-12-</v>
      </c>
      <c r="M4" s="7" t="str">
        <f>"-13-"</f>
        <v>-13-</v>
      </c>
      <c r="N4" s="7" t="str">
        <f>"-14-"</f>
        <v>-14-</v>
      </c>
      <c r="O4" s="7" t="str">
        <f>"-15-"</f>
        <v>-15-</v>
      </c>
      <c r="P4" s="7" t="str">
        <f>"-16-"</f>
        <v>-16-</v>
      </c>
      <c r="Q4" s="7" t="str">
        <f>"-17-"</f>
        <v>-17-</v>
      </c>
      <c r="R4" s="7" t="str">
        <f>"-18-"</f>
        <v>-18-</v>
      </c>
      <c r="S4" s="7" t="str">
        <f>"-19-"</f>
        <v>-19-</v>
      </c>
      <c r="T4" s="7" t="str">
        <f>"-20-"</f>
        <v>-20-</v>
      </c>
      <c r="U4" s="4"/>
      <c r="V4" s="4"/>
      <c r="W4" s="4"/>
      <c r="X4" s="4"/>
    </row>
    <row r="5" spans="1:24" ht="22.5" customHeight="1">
      <c r="A5" s="8" t="s">
        <v>17</v>
      </c>
      <c r="B5" s="8">
        <v>1</v>
      </c>
      <c r="C5" s="25">
        <v>121</v>
      </c>
      <c r="D5" s="9">
        <v>444.29399999999998</v>
      </c>
      <c r="E5" s="9">
        <v>0</v>
      </c>
      <c r="F5" s="9">
        <v>444.29399999999998</v>
      </c>
      <c r="G5" s="10">
        <v>24</v>
      </c>
      <c r="H5" s="10">
        <v>730</v>
      </c>
      <c r="I5" s="11" t="s">
        <v>16</v>
      </c>
      <c r="J5" s="29">
        <v>0</v>
      </c>
      <c r="K5" s="12"/>
      <c r="L5" s="27">
        <v>0</v>
      </c>
      <c r="M5" s="33">
        <v>0</v>
      </c>
      <c r="N5" s="34">
        <v>0</v>
      </c>
      <c r="O5" s="42">
        <f>ROUND(IF(VALUE(MID(A5,3,1))&lt;5,B5*N5*G5,(H5*24*C5*N5)/100),2)</f>
        <v>0</v>
      </c>
      <c r="P5" s="34">
        <v>0</v>
      </c>
      <c r="Q5" s="42">
        <v>0</v>
      </c>
      <c r="R5" s="44">
        <v>0</v>
      </c>
      <c r="S5" s="31">
        <v>0</v>
      </c>
      <c r="T5" s="31">
        <v>0</v>
      </c>
      <c r="U5" s="4"/>
      <c r="V5" s="4"/>
      <c r="W5" s="4"/>
      <c r="X5" s="4"/>
    </row>
    <row r="6" spans="1:24" ht="23.25" customHeight="1">
      <c r="A6" s="8" t="s">
        <v>12</v>
      </c>
      <c r="B6" s="8">
        <v>1</v>
      </c>
      <c r="C6" s="25">
        <v>110</v>
      </c>
      <c r="D6" s="9">
        <v>88.882000000000005</v>
      </c>
      <c r="E6" s="9">
        <v>0</v>
      </c>
      <c r="F6" s="9">
        <v>88.882000000000005</v>
      </c>
      <c r="G6" s="10">
        <v>24</v>
      </c>
      <c r="H6" s="10">
        <v>730</v>
      </c>
      <c r="I6" s="11" t="s">
        <v>16</v>
      </c>
      <c r="J6" s="29">
        <v>0</v>
      </c>
      <c r="K6" s="12"/>
      <c r="L6" s="27">
        <v>0</v>
      </c>
      <c r="M6" s="33">
        <v>0</v>
      </c>
      <c r="N6" s="34">
        <v>0</v>
      </c>
      <c r="O6" s="42">
        <f t="shared" ref="O6:O22" si="0">ROUND(IF(VALUE(MID(A6,3,1))&lt;5,B6*N6*G6,(H6*24*C6*N6)/100),2)</f>
        <v>0</v>
      </c>
      <c r="P6" s="34">
        <v>0</v>
      </c>
      <c r="Q6" s="42">
        <f t="shared" ref="Q6:Q7" si="1">ROUND(P6*F6/100,2)</f>
        <v>0</v>
      </c>
      <c r="R6" s="44">
        <f t="shared" ref="R6:R22" si="2">O6+Q6</f>
        <v>0</v>
      </c>
      <c r="S6" s="31">
        <v>0</v>
      </c>
      <c r="T6" s="31">
        <v>0</v>
      </c>
      <c r="U6" s="4"/>
      <c r="V6" s="4"/>
      <c r="W6" s="4"/>
      <c r="X6" s="4"/>
    </row>
    <row r="7" spans="1:24" ht="22.5" customHeight="1">
      <c r="A7" s="8" t="s">
        <v>12</v>
      </c>
      <c r="B7" s="8">
        <v>1</v>
      </c>
      <c r="C7" s="25">
        <v>110</v>
      </c>
      <c r="D7" s="9">
        <v>83.414000000000001</v>
      </c>
      <c r="E7" s="9">
        <v>0</v>
      </c>
      <c r="F7" s="9">
        <v>83.414000000000001</v>
      </c>
      <c r="G7" s="10">
        <v>24</v>
      </c>
      <c r="H7" s="10">
        <v>730</v>
      </c>
      <c r="I7" s="11" t="s">
        <v>16</v>
      </c>
      <c r="J7" s="29">
        <v>0</v>
      </c>
      <c r="K7" s="12"/>
      <c r="L7" s="27">
        <v>0</v>
      </c>
      <c r="M7" s="33">
        <v>0</v>
      </c>
      <c r="N7" s="34">
        <v>0</v>
      </c>
      <c r="O7" s="42">
        <f t="shared" si="0"/>
        <v>0</v>
      </c>
      <c r="P7" s="34">
        <v>0</v>
      </c>
      <c r="Q7" s="42">
        <f t="shared" si="1"/>
        <v>0</v>
      </c>
      <c r="R7" s="44">
        <f t="shared" si="2"/>
        <v>0</v>
      </c>
      <c r="S7" s="31">
        <v>0</v>
      </c>
      <c r="T7" s="31">
        <v>0</v>
      </c>
      <c r="U7" s="4"/>
      <c r="V7" s="4"/>
      <c r="W7" s="4"/>
      <c r="X7" s="4"/>
    </row>
    <row r="8" spans="1:24" ht="22.5" customHeight="1">
      <c r="A8" s="13" t="s">
        <v>12</v>
      </c>
      <c r="B8" s="13">
        <v>1</v>
      </c>
      <c r="C8" s="24">
        <v>110</v>
      </c>
      <c r="D8" s="9">
        <v>40.334000000000003</v>
      </c>
      <c r="E8" s="15">
        <v>0</v>
      </c>
      <c r="F8" s="9">
        <v>40.334000000000003</v>
      </c>
      <c r="G8" s="16">
        <v>24</v>
      </c>
      <c r="H8" s="16">
        <v>730</v>
      </c>
      <c r="I8" s="11" t="s">
        <v>16</v>
      </c>
      <c r="J8" s="29">
        <v>0</v>
      </c>
      <c r="K8" s="17"/>
      <c r="L8" s="28">
        <v>0</v>
      </c>
      <c r="M8" s="33">
        <v>0</v>
      </c>
      <c r="N8" s="35">
        <v>0</v>
      </c>
      <c r="O8" s="42">
        <f t="shared" si="0"/>
        <v>0</v>
      </c>
      <c r="P8" s="35">
        <v>0</v>
      </c>
      <c r="Q8" s="43">
        <v>0</v>
      </c>
      <c r="R8" s="45">
        <v>0</v>
      </c>
      <c r="S8" s="32">
        <v>0</v>
      </c>
      <c r="T8" s="31">
        <v>0</v>
      </c>
      <c r="U8" s="4"/>
      <c r="V8" s="4"/>
      <c r="W8" s="4"/>
      <c r="X8" s="4"/>
    </row>
    <row r="9" spans="1:24" ht="22.5" customHeight="1">
      <c r="A9" s="13" t="s">
        <v>12</v>
      </c>
      <c r="B9" s="13">
        <v>1</v>
      </c>
      <c r="C9" s="24">
        <v>110</v>
      </c>
      <c r="D9" s="9">
        <v>110.07</v>
      </c>
      <c r="E9" s="15">
        <v>0</v>
      </c>
      <c r="F9" s="9">
        <v>110.07</v>
      </c>
      <c r="G9" s="16">
        <v>24</v>
      </c>
      <c r="H9" s="16">
        <v>730</v>
      </c>
      <c r="I9" s="11" t="s">
        <v>16</v>
      </c>
      <c r="J9" s="29">
        <v>0</v>
      </c>
      <c r="K9" s="17"/>
      <c r="L9" s="28">
        <v>0</v>
      </c>
      <c r="M9" s="33">
        <v>0</v>
      </c>
      <c r="N9" s="35">
        <v>0</v>
      </c>
      <c r="O9" s="42">
        <f>ROUND(IF(VALUE(MID(A9,3,1))&lt;5,B9*N9*G9,(H9*24*C9*N9)/100),2)</f>
        <v>0</v>
      </c>
      <c r="P9" s="35">
        <v>0</v>
      </c>
      <c r="Q9" s="43">
        <v>0</v>
      </c>
      <c r="R9" s="45">
        <v>0</v>
      </c>
      <c r="S9" s="32">
        <v>0</v>
      </c>
      <c r="T9" s="31">
        <v>0</v>
      </c>
      <c r="U9" s="4"/>
      <c r="V9" s="4"/>
      <c r="W9" s="4"/>
      <c r="X9" s="4"/>
    </row>
    <row r="10" spans="1:24" ht="22.5" customHeight="1">
      <c r="A10" s="26" t="s">
        <v>30</v>
      </c>
      <c r="B10" s="13">
        <v>1</v>
      </c>
      <c r="C10" s="24">
        <v>110</v>
      </c>
      <c r="D10" s="9">
        <v>105.246</v>
      </c>
      <c r="E10" s="15">
        <v>0</v>
      </c>
      <c r="F10" s="9">
        <v>105.246</v>
      </c>
      <c r="G10" s="16">
        <v>24</v>
      </c>
      <c r="H10" s="16">
        <v>730</v>
      </c>
      <c r="I10" s="11" t="s">
        <v>16</v>
      </c>
      <c r="J10" s="29">
        <v>0</v>
      </c>
      <c r="K10" s="17"/>
      <c r="L10" s="28">
        <v>0</v>
      </c>
      <c r="M10" s="33">
        <v>0</v>
      </c>
      <c r="N10" s="35">
        <v>0</v>
      </c>
      <c r="O10" s="42">
        <f>ROUND(IF(VALUE(MID(A10,3,1))&lt;5,B10*N10*G10,(H10*24*C10*N10)/100),2)</f>
        <v>0</v>
      </c>
      <c r="P10" s="35">
        <v>0</v>
      </c>
      <c r="Q10" s="43">
        <v>0</v>
      </c>
      <c r="R10" s="45">
        <v>0</v>
      </c>
      <c r="S10" s="32">
        <v>0</v>
      </c>
      <c r="T10" s="31">
        <v>0</v>
      </c>
      <c r="U10" s="4"/>
      <c r="V10" s="4"/>
      <c r="W10" s="4"/>
      <c r="X10" s="4"/>
    </row>
    <row r="11" spans="1:24" ht="22.5" customHeight="1">
      <c r="A11" s="26" t="s">
        <v>13</v>
      </c>
      <c r="B11" s="13">
        <v>1</v>
      </c>
      <c r="C11" s="24">
        <v>110</v>
      </c>
      <c r="D11" s="9">
        <v>515.84400000000005</v>
      </c>
      <c r="E11" s="15">
        <v>0</v>
      </c>
      <c r="F11" s="9">
        <v>515.84400000000005</v>
      </c>
      <c r="G11" s="16">
        <v>24</v>
      </c>
      <c r="H11" s="16">
        <v>730</v>
      </c>
      <c r="I11" s="11" t="s">
        <v>16</v>
      </c>
      <c r="J11" s="29">
        <v>0</v>
      </c>
      <c r="K11" s="17"/>
      <c r="L11" s="28">
        <v>0</v>
      </c>
      <c r="M11" s="33">
        <v>0</v>
      </c>
      <c r="N11" s="35">
        <v>0</v>
      </c>
      <c r="O11" s="42">
        <f>ROUND(IF(VALUE(MID(A11,3,1))&lt;5,B11*N11*G11,(H11*24*C11*N11)/100),2)</f>
        <v>0</v>
      </c>
      <c r="P11" s="35">
        <v>0</v>
      </c>
      <c r="Q11" s="43">
        <v>0</v>
      </c>
      <c r="R11" s="45">
        <v>0</v>
      </c>
      <c r="S11" s="32">
        <v>0</v>
      </c>
      <c r="T11" s="31">
        <v>0</v>
      </c>
      <c r="U11" s="4"/>
      <c r="V11" s="4"/>
      <c r="W11" s="4"/>
      <c r="X11" s="4"/>
    </row>
    <row r="12" spans="1:24" ht="22.5" customHeight="1">
      <c r="A12" s="26" t="s">
        <v>13</v>
      </c>
      <c r="B12" s="13">
        <v>1</v>
      </c>
      <c r="C12" s="24">
        <v>110</v>
      </c>
      <c r="D12" s="9">
        <v>271.63</v>
      </c>
      <c r="E12" s="15">
        <v>0</v>
      </c>
      <c r="F12" s="9">
        <v>271.63</v>
      </c>
      <c r="G12" s="16">
        <v>24</v>
      </c>
      <c r="H12" s="16">
        <v>730</v>
      </c>
      <c r="I12" s="11" t="s">
        <v>16</v>
      </c>
      <c r="J12" s="30">
        <v>0</v>
      </c>
      <c r="K12" s="17"/>
      <c r="L12" s="28">
        <v>0</v>
      </c>
      <c r="M12" s="33">
        <v>0</v>
      </c>
      <c r="N12" s="35">
        <v>0</v>
      </c>
      <c r="O12" s="42">
        <f>ROUND(IF(VALUE(MID(A12,3,1))&lt;5,B12*N12*G12,(H12*24*C12*N12)/100),2)</f>
        <v>0</v>
      </c>
      <c r="P12" s="35">
        <v>0</v>
      </c>
      <c r="Q12" s="43">
        <v>0</v>
      </c>
      <c r="R12" s="45">
        <v>0</v>
      </c>
      <c r="S12" s="32">
        <v>0</v>
      </c>
      <c r="T12" s="31">
        <v>0</v>
      </c>
      <c r="U12" s="4"/>
      <c r="V12" s="4"/>
      <c r="W12" s="4"/>
      <c r="X12" s="4"/>
    </row>
    <row r="13" spans="1:24" ht="103.5" customHeight="1">
      <c r="A13" s="13" t="s">
        <v>17</v>
      </c>
      <c r="B13" s="13">
        <v>1</v>
      </c>
      <c r="C13" s="24">
        <v>274</v>
      </c>
      <c r="D13" s="9">
        <v>371.19799999999998</v>
      </c>
      <c r="E13" s="15">
        <v>0</v>
      </c>
      <c r="F13" s="9">
        <v>371.19799999999998</v>
      </c>
      <c r="G13" s="16">
        <v>24</v>
      </c>
      <c r="H13" s="16">
        <v>730</v>
      </c>
      <c r="I13" s="11" t="s">
        <v>16</v>
      </c>
      <c r="J13" s="30">
        <v>0</v>
      </c>
      <c r="K13" s="17"/>
      <c r="L13" s="28">
        <v>0</v>
      </c>
      <c r="M13" s="33">
        <v>0</v>
      </c>
      <c r="N13" s="35">
        <v>0</v>
      </c>
      <c r="O13" s="42">
        <f t="shared" si="0"/>
        <v>0</v>
      </c>
      <c r="P13" s="35">
        <v>0</v>
      </c>
      <c r="Q13" s="43">
        <v>0</v>
      </c>
      <c r="R13" s="45">
        <v>0</v>
      </c>
      <c r="S13" s="32">
        <v>0</v>
      </c>
      <c r="T13" s="31">
        <v>0</v>
      </c>
      <c r="U13" s="4"/>
      <c r="V13" s="4"/>
      <c r="W13" s="4"/>
      <c r="X13" s="4"/>
    </row>
    <row r="14" spans="1:24" ht="22.5" customHeight="1">
      <c r="A14" s="13" t="s">
        <v>17</v>
      </c>
      <c r="B14" s="13">
        <v>1</v>
      </c>
      <c r="C14" s="24">
        <v>307</v>
      </c>
      <c r="D14" s="9">
        <v>546.43399999999997</v>
      </c>
      <c r="E14" s="15">
        <v>0</v>
      </c>
      <c r="F14" s="9">
        <v>546.43399999999997</v>
      </c>
      <c r="G14" s="16">
        <v>24</v>
      </c>
      <c r="H14" s="16">
        <v>730</v>
      </c>
      <c r="I14" s="11" t="s">
        <v>16</v>
      </c>
      <c r="J14" s="30">
        <v>0</v>
      </c>
      <c r="K14" s="17"/>
      <c r="L14" s="28">
        <v>0</v>
      </c>
      <c r="M14" s="33">
        <v>0</v>
      </c>
      <c r="N14" s="35">
        <v>0</v>
      </c>
      <c r="O14" s="42">
        <f t="shared" si="0"/>
        <v>0</v>
      </c>
      <c r="P14" s="35">
        <v>0</v>
      </c>
      <c r="Q14" s="43">
        <v>0</v>
      </c>
      <c r="R14" s="45">
        <v>0</v>
      </c>
      <c r="S14" s="32">
        <v>0</v>
      </c>
      <c r="T14" s="31">
        <v>0</v>
      </c>
      <c r="U14" s="4"/>
      <c r="V14" s="4"/>
      <c r="W14" s="4"/>
      <c r="X14" s="4"/>
    </row>
    <row r="15" spans="1:24" ht="22.5" customHeight="1">
      <c r="A15" s="13" t="s">
        <v>11</v>
      </c>
      <c r="B15" s="13">
        <v>1</v>
      </c>
      <c r="C15" s="24">
        <v>110</v>
      </c>
      <c r="D15" s="9">
        <v>0.08</v>
      </c>
      <c r="E15" s="15">
        <v>0</v>
      </c>
      <c r="F15" s="9">
        <v>0.08</v>
      </c>
      <c r="G15" s="16">
        <v>24</v>
      </c>
      <c r="H15" s="16">
        <v>730</v>
      </c>
      <c r="I15" s="11" t="s">
        <v>16</v>
      </c>
      <c r="J15" s="30">
        <v>0</v>
      </c>
      <c r="K15" s="17"/>
      <c r="L15" s="28">
        <v>0</v>
      </c>
      <c r="M15" s="33">
        <f t="shared" ref="M15" si="3">(D15*J15)/100+(E15*K15)/100+(B15*G15*L15)</f>
        <v>0</v>
      </c>
      <c r="N15" s="35">
        <v>0</v>
      </c>
      <c r="O15" s="42">
        <f t="shared" si="0"/>
        <v>0</v>
      </c>
      <c r="P15" s="35">
        <v>0</v>
      </c>
      <c r="Q15" s="43">
        <v>0</v>
      </c>
      <c r="R15" s="45">
        <v>0</v>
      </c>
      <c r="S15" s="32">
        <v>0</v>
      </c>
      <c r="T15" s="31">
        <v>0</v>
      </c>
      <c r="U15" s="4"/>
      <c r="V15" s="4"/>
      <c r="W15" s="4"/>
      <c r="X15" s="4"/>
    </row>
    <row r="16" spans="1:24" ht="22.5" customHeight="1">
      <c r="A16" s="13" t="s">
        <v>17</v>
      </c>
      <c r="B16" s="13">
        <v>1</v>
      </c>
      <c r="C16" s="24">
        <v>143</v>
      </c>
      <c r="D16" s="9">
        <v>220.86</v>
      </c>
      <c r="E16" s="15">
        <v>0</v>
      </c>
      <c r="F16" s="9">
        <v>220.86</v>
      </c>
      <c r="G16" s="16">
        <v>24</v>
      </c>
      <c r="H16" s="16">
        <v>730</v>
      </c>
      <c r="I16" s="11" t="s">
        <v>16</v>
      </c>
      <c r="J16" s="30">
        <v>0</v>
      </c>
      <c r="K16" s="17"/>
      <c r="L16" s="28">
        <v>0</v>
      </c>
      <c r="M16" s="33">
        <v>0</v>
      </c>
      <c r="N16" s="35">
        <v>0</v>
      </c>
      <c r="O16" s="42">
        <f t="shared" si="0"/>
        <v>0</v>
      </c>
      <c r="P16" s="35">
        <v>0</v>
      </c>
      <c r="Q16" s="43">
        <v>0</v>
      </c>
      <c r="R16" s="45">
        <v>0</v>
      </c>
      <c r="S16" s="32">
        <v>0</v>
      </c>
      <c r="T16" s="31">
        <v>0</v>
      </c>
      <c r="U16" s="4"/>
      <c r="V16" s="4"/>
      <c r="W16" s="4"/>
      <c r="X16" s="4"/>
    </row>
    <row r="17" spans="1:24" ht="22.5" customHeight="1">
      <c r="A17" s="13" t="s">
        <v>17</v>
      </c>
      <c r="B17" s="13">
        <v>1</v>
      </c>
      <c r="C17" s="24">
        <v>395</v>
      </c>
      <c r="D17" s="9">
        <v>1303.4680000000001</v>
      </c>
      <c r="E17" s="15">
        <v>0</v>
      </c>
      <c r="F17" s="9">
        <v>1303.4680000000001</v>
      </c>
      <c r="G17" s="16">
        <v>24</v>
      </c>
      <c r="H17" s="16">
        <v>730</v>
      </c>
      <c r="I17" s="11" t="s">
        <v>16</v>
      </c>
      <c r="J17" s="30">
        <v>0</v>
      </c>
      <c r="K17" s="17"/>
      <c r="L17" s="28">
        <v>0</v>
      </c>
      <c r="M17" s="33">
        <v>0</v>
      </c>
      <c r="N17" s="35">
        <v>0</v>
      </c>
      <c r="O17" s="42">
        <f t="shared" si="0"/>
        <v>0</v>
      </c>
      <c r="P17" s="35">
        <v>0</v>
      </c>
      <c r="Q17" s="43">
        <v>0</v>
      </c>
      <c r="R17" s="45">
        <v>0</v>
      </c>
      <c r="S17" s="32">
        <v>0</v>
      </c>
      <c r="T17" s="31">
        <v>0</v>
      </c>
      <c r="U17" s="4"/>
      <c r="V17" s="4"/>
      <c r="W17" s="4"/>
      <c r="X17" s="4"/>
    </row>
    <row r="18" spans="1:24" ht="22.5" customHeight="1">
      <c r="A18" s="13" t="s">
        <v>17</v>
      </c>
      <c r="B18" s="13">
        <v>1</v>
      </c>
      <c r="C18" s="24">
        <v>121</v>
      </c>
      <c r="D18" s="9">
        <v>268.43</v>
      </c>
      <c r="E18" s="15" t="s">
        <v>24</v>
      </c>
      <c r="F18" s="9">
        <v>268.43</v>
      </c>
      <c r="G18" s="16">
        <v>24</v>
      </c>
      <c r="H18" s="16">
        <v>730</v>
      </c>
      <c r="I18" s="11" t="s">
        <v>16</v>
      </c>
      <c r="J18" s="30">
        <v>0</v>
      </c>
      <c r="K18" s="17"/>
      <c r="L18" s="28">
        <v>0</v>
      </c>
      <c r="M18" s="33">
        <f>M14</f>
        <v>0</v>
      </c>
      <c r="N18" s="35">
        <v>0</v>
      </c>
      <c r="O18" s="42">
        <f t="shared" si="0"/>
        <v>0</v>
      </c>
      <c r="P18" s="35">
        <v>0</v>
      </c>
      <c r="Q18" s="43">
        <v>0</v>
      </c>
      <c r="R18" s="45">
        <v>0</v>
      </c>
      <c r="S18" s="32">
        <v>0</v>
      </c>
      <c r="T18" s="31">
        <v>0</v>
      </c>
      <c r="U18" s="4"/>
      <c r="V18" s="4"/>
      <c r="W18" s="4"/>
      <c r="X18" s="4"/>
    </row>
    <row r="19" spans="1:24" ht="22.5" customHeight="1">
      <c r="A19" s="13" t="s">
        <v>17</v>
      </c>
      <c r="B19" s="13">
        <v>1</v>
      </c>
      <c r="C19" s="24">
        <v>549</v>
      </c>
      <c r="D19" s="9">
        <v>3575.34</v>
      </c>
      <c r="E19" s="15">
        <v>0</v>
      </c>
      <c r="F19" s="9">
        <v>3575.34</v>
      </c>
      <c r="G19" s="16">
        <v>24</v>
      </c>
      <c r="H19" s="16">
        <v>730</v>
      </c>
      <c r="I19" s="11" t="s">
        <v>16</v>
      </c>
      <c r="J19" s="30">
        <v>0</v>
      </c>
      <c r="K19" s="17"/>
      <c r="L19" s="28">
        <v>0</v>
      </c>
      <c r="M19" s="33">
        <v>0</v>
      </c>
      <c r="N19" s="35">
        <v>0</v>
      </c>
      <c r="O19" s="42">
        <f t="shared" si="0"/>
        <v>0</v>
      </c>
      <c r="P19" s="35">
        <v>0</v>
      </c>
      <c r="Q19" s="43">
        <v>0</v>
      </c>
      <c r="R19" s="45">
        <v>0</v>
      </c>
      <c r="S19" s="32">
        <v>0</v>
      </c>
      <c r="T19" s="31">
        <v>0</v>
      </c>
      <c r="U19" s="4"/>
      <c r="V19" s="4"/>
      <c r="W19" s="4"/>
      <c r="X19" s="4"/>
    </row>
    <row r="20" spans="1:24" ht="22.5" customHeight="1">
      <c r="A20" s="13" t="s">
        <v>13</v>
      </c>
      <c r="B20" s="13">
        <v>1</v>
      </c>
      <c r="C20" s="24">
        <v>110</v>
      </c>
      <c r="D20" s="9">
        <v>333.44200000000001</v>
      </c>
      <c r="E20" s="15">
        <v>0</v>
      </c>
      <c r="F20" s="9">
        <v>333.44200000000001</v>
      </c>
      <c r="G20" s="16">
        <v>24</v>
      </c>
      <c r="H20" s="16">
        <v>730</v>
      </c>
      <c r="I20" s="11" t="s">
        <v>16</v>
      </c>
      <c r="J20" s="30">
        <v>0</v>
      </c>
      <c r="K20" s="17"/>
      <c r="L20" s="28">
        <v>0</v>
      </c>
      <c r="M20" s="33">
        <v>0</v>
      </c>
      <c r="N20" s="35">
        <v>0</v>
      </c>
      <c r="O20" s="42">
        <f t="shared" si="0"/>
        <v>0</v>
      </c>
      <c r="P20" s="35">
        <v>0</v>
      </c>
      <c r="Q20" s="43">
        <v>0</v>
      </c>
      <c r="R20" s="45">
        <v>0</v>
      </c>
      <c r="S20" s="32">
        <v>0</v>
      </c>
      <c r="T20" s="31">
        <v>0</v>
      </c>
      <c r="U20" s="4"/>
      <c r="V20" s="4"/>
      <c r="W20" s="4"/>
      <c r="X20" s="4"/>
    </row>
    <row r="21" spans="1:24" ht="22.5" customHeight="1">
      <c r="A21" s="13" t="s">
        <v>12</v>
      </c>
      <c r="B21" s="13">
        <v>1</v>
      </c>
      <c r="C21" s="24">
        <v>110</v>
      </c>
      <c r="D21" s="9">
        <v>131.68</v>
      </c>
      <c r="E21" s="15">
        <v>0</v>
      </c>
      <c r="F21" s="9">
        <v>131.68</v>
      </c>
      <c r="G21" s="16">
        <v>24</v>
      </c>
      <c r="H21" s="16">
        <v>730</v>
      </c>
      <c r="I21" s="11" t="s">
        <v>16</v>
      </c>
      <c r="J21" s="30">
        <v>0</v>
      </c>
      <c r="K21" s="17"/>
      <c r="L21" s="28">
        <v>0</v>
      </c>
      <c r="M21" s="33">
        <v>0</v>
      </c>
      <c r="N21" s="35">
        <v>0</v>
      </c>
      <c r="O21" s="42">
        <f t="shared" si="0"/>
        <v>0</v>
      </c>
      <c r="P21" s="35">
        <v>0</v>
      </c>
      <c r="Q21" s="43">
        <v>0</v>
      </c>
      <c r="R21" s="45">
        <v>0</v>
      </c>
      <c r="S21" s="32">
        <v>0</v>
      </c>
      <c r="T21" s="31">
        <v>0</v>
      </c>
      <c r="U21" s="4"/>
      <c r="V21" s="4"/>
      <c r="W21" s="4"/>
      <c r="X21" s="4"/>
    </row>
    <row r="22" spans="1:24" ht="21.75" customHeight="1">
      <c r="A22" s="13" t="s">
        <v>12</v>
      </c>
      <c r="B22" s="13">
        <v>1</v>
      </c>
      <c r="C22" s="14">
        <v>110</v>
      </c>
      <c r="D22" s="9">
        <v>43.62</v>
      </c>
      <c r="E22" s="15">
        <v>0</v>
      </c>
      <c r="F22" s="9">
        <v>43.62</v>
      </c>
      <c r="G22" s="16">
        <v>24</v>
      </c>
      <c r="H22" s="16">
        <v>730</v>
      </c>
      <c r="I22" s="18" t="s">
        <v>16</v>
      </c>
      <c r="J22" s="30">
        <v>0</v>
      </c>
      <c r="K22" s="17"/>
      <c r="L22" s="28">
        <v>0</v>
      </c>
      <c r="M22" s="33">
        <v>0</v>
      </c>
      <c r="N22" s="35">
        <v>0</v>
      </c>
      <c r="O22" s="42">
        <f t="shared" si="0"/>
        <v>0</v>
      </c>
      <c r="P22" s="35">
        <v>0</v>
      </c>
      <c r="Q22" s="43">
        <v>0</v>
      </c>
      <c r="R22" s="45">
        <f t="shared" si="2"/>
        <v>0</v>
      </c>
      <c r="S22" s="32">
        <v>0</v>
      </c>
      <c r="T22" s="31">
        <v>0</v>
      </c>
      <c r="U22" s="4"/>
      <c r="V22" s="4"/>
      <c r="W22" s="4"/>
      <c r="X22" s="4"/>
    </row>
    <row r="23" spans="1:24" s="2" customFormat="1" ht="24.75" customHeight="1">
      <c r="A23" s="38" t="s">
        <v>25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19" t="s">
        <v>14</v>
      </c>
      <c r="S23" s="20" t="str">
        <f>IF(SUM(S5:S22)=0,"",SUM(S5:S22))</f>
        <v/>
      </c>
      <c r="T23" s="21" t="str">
        <f>IF(SUM(T5:T22)=0,"",SUM(T5:T22))</f>
        <v/>
      </c>
      <c r="U23" s="22"/>
      <c r="V23" s="22"/>
      <c r="W23" s="22"/>
      <c r="X23" s="22"/>
    </row>
    <row r="24" spans="1:24">
      <c r="A24" s="23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>
      <c r="A25" s="36" t="s">
        <v>31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4"/>
      <c r="V25" s="4"/>
      <c r="W25" s="4"/>
      <c r="X25" s="4"/>
    </row>
    <row r="26" spans="1:2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8" spans="1:24">
      <c r="F28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J5:J22" name="Rozstęp1"/>
    <protectedRange sqref="L5:L22" name="Rozstęp2"/>
  </protectedRanges>
  <mergeCells count="15">
    <mergeCell ref="A26:T26"/>
    <mergeCell ref="J2:M2"/>
    <mergeCell ref="N2:R2"/>
    <mergeCell ref="A23:Q23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25:T25"/>
  </mergeCells>
  <pageMargins left="0.25" right="0.25" top="0.75" bottom="0.75" header="0.3" footer="0.3"/>
  <pageSetup paperSize="284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Mirek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Sutor Artur</dc:creator>
  <cp:lastModifiedBy>Andrzej Porzeziński</cp:lastModifiedBy>
  <cp:lastPrinted>2020-05-26T07:06:56Z</cp:lastPrinted>
  <dcterms:created xsi:type="dcterms:W3CDTF">2015-12-02T07:23:09Z</dcterms:created>
  <dcterms:modified xsi:type="dcterms:W3CDTF">2021-05-25T13:03:47Z</dcterms:modified>
</cp:coreProperties>
</file>